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hm\Downloads\tessallite-workspace\tessallite-workspace\tessallite-workspace\tessallite-website\assets\screenshots\Goodscreens\"/>
    </mc:Choice>
  </mc:AlternateContent>
  <xr:revisionPtr revIDLastSave="0" documentId="13_ncr:1_{86727D5D-B15B-4B1C-8D37-D3305F6E1388}" xr6:coauthVersionLast="47" xr6:coauthVersionMax="47" xr10:uidLastSave="{00000000-0000-0000-0000-000000000000}"/>
  <bookViews>
    <workbookView xWindow="-103" yWindow="-103" windowWidth="24892" windowHeight="14914" xr2:uid="{4ECB5F93-2A08-4204-BB60-FF1730518FD8}"/>
  </bookViews>
  <sheets>
    <sheet name="Sheet1" sheetId="1" r:id="rId1"/>
    <sheet name="Sheet2" sheetId="5" r:id="rId2" state="hidden"/>
    <sheet name="Data" sheetId="4" r:id="rId3"/>
  </sheets>
  <calcPr calcId="191029" calcMode="manual"/>
  <pivotCaches>
    <pivotCache cacheId="0" r:id="rId7"/>
    <pivotCache cacheId="9" r:id="rId8"/>
    <pivotCache cacheId="21" r:id="rId9"/>
    <pivotCache cacheId="36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essalliteTPCDS" type="5" refreshedVersion="8" minRefreshableVersion="3" saveData="1">
    <dbPr connection="Provider=MSOLAP.8;Persist Security Info=False;User ID=admin@acme-demo.com;Initial Catalog=tpcds_retail;Data Source=https://sql.cloud.tessallite.io:8080/api/v1/xmla/acme-demo;Location=https://sql.cloud.tessallite.io:8080/api/v1/xmla/acme-demo;MDX Compatibility=1;Safety Options=2;MDX Missing Member Mode=Error;Update Isolation Level=2" command="tpcds_retail" commandType="1"/>
    <olapPr sendLocale="1" rowDrillCount="1000"/>
  </connection>
</connections>
</file>

<file path=xl/sharedStrings.xml><?xml version="1.0" encoding="utf-8"?>
<sst xmlns="http://schemas.openxmlformats.org/spreadsheetml/2006/main" count="284" uniqueCount="229">
  <si>
    <t>MODEL STATUS</t>
  </si>
  <si>
    <t>Mock source data and semantic model mapping — dashboard formulas and charts tie to these blocks</t>
  </si>
  <si>
    <t>Month</t>
  </si>
  <si>
    <t>Gross Sales (£m)</t>
  </si>
  <si>
    <t>Discount (£m)</t>
  </si>
  <si>
    <t>Net Sales (£m)</t>
  </si>
  <si>
    <t>Net Profit (£m)</t>
  </si>
  <si>
    <t>Gross Margin</t>
  </si>
  <si>
    <t>Quantity (000s)</t>
  </si>
  <si>
    <t>Orders (000s)</t>
  </si>
  <si>
    <t>Customers (000s)</t>
  </si>
  <si>
    <t>Category</t>
  </si>
  <si>
    <t>Avg Ticket (£)</t>
  </si>
  <si>
    <t>Grocery</t>
  </si>
  <si>
    <t>Apparel</t>
  </si>
  <si>
    <t>Electronics</t>
  </si>
  <si>
    <t>Home &amp; Kitchen</t>
  </si>
  <si>
    <t>Health &amp; Beauty</t>
  </si>
  <si>
    <t>Sports</t>
  </si>
  <si>
    <t>Region</t>
  </si>
  <si>
    <t>Northeast</t>
  </si>
  <si>
    <t>South</t>
  </si>
  <si>
    <t>Midwest</t>
  </si>
  <si>
    <t>West</t>
  </si>
  <si>
    <t>Customer Segment</t>
  </si>
  <si>
    <t>Revenue / Customer (£)</t>
  </si>
  <si>
    <t>Bronze</t>
  </si>
  <si>
    <t>Silver</t>
  </si>
  <si>
    <t>Gold</t>
  </si>
  <si>
    <t>Platinum</t>
  </si>
  <si>
    <t>Promotion Type</t>
  </si>
  <si>
    <t>Promo Cost (£m)</t>
  </si>
  <si>
    <t>Target Orders (000s)</t>
  </si>
  <si>
    <t>Profit / Promo Cost</t>
  </si>
  <si>
    <t>No Promo</t>
  </si>
  <si>
    <t>Email</t>
  </si>
  <si>
    <t>Direct Mail</t>
  </si>
  <si>
    <t>In-Store Event</t>
  </si>
  <si>
    <t>TV / Radio</t>
  </si>
  <si>
    <t>Press / Catalog</t>
  </si>
  <si>
    <t>Table</t>
  </si>
  <si>
    <t>Type</t>
  </si>
  <si>
    <t>Primary Key</t>
  </si>
  <si>
    <t>Join Path</t>
  </si>
  <si>
    <t>Dashboard Use</t>
  </si>
  <si>
    <t>Notes</t>
  </si>
  <si>
    <t>store_sales</t>
  </si>
  <si>
    <t>fact</t>
  </si>
  <si>
    <t>ss_* keys</t>
  </si>
  <si>
    <t>date_dim, item, store, customer, promotion</t>
  </si>
  <si>
    <t>gross/net/profit/discounts</t>
  </si>
  <si>
    <t>Central transaction fact table</t>
  </si>
  <si>
    <t>date_dim</t>
  </si>
  <si>
    <t>dim_detail</t>
  </si>
  <si>
    <t>d_date_sk</t>
  </si>
  <si>
    <t>store_sales.ss_sold_date_sk</t>
  </si>
  <si>
    <t>month / quarter / year</t>
  </si>
  <si>
    <t>Calendar trend axis</t>
  </si>
  <si>
    <t>item</t>
  </si>
  <si>
    <t>i_item_sk</t>
  </si>
  <si>
    <t>store_sales.ss_item_sk</t>
  </si>
  <si>
    <t>brand / category / class</t>
  </si>
  <si>
    <t>Category mix and margin</t>
  </si>
  <si>
    <t>store</t>
  </si>
  <si>
    <t>s_store_sk</t>
  </si>
  <si>
    <t>store_sales.ss_store_sk</t>
  </si>
  <si>
    <t>region / state</t>
  </si>
  <si>
    <t>Regional performance</t>
  </si>
  <si>
    <t>customer</t>
  </si>
  <si>
    <t>c_customer_sk</t>
  </si>
  <si>
    <t>store_sales.ss_customer_sk</t>
  </si>
  <si>
    <t>customer_segment</t>
  </si>
  <si>
    <t>Loyalty economics</t>
  </si>
  <si>
    <t>promotion</t>
  </si>
  <si>
    <t>p_promo_sk</t>
  </si>
  <si>
    <t>store_sales.ss_promo_sk</t>
  </si>
  <si>
    <t>promotion_type</t>
  </si>
  <si>
    <t>Promo ROI</t>
  </si>
  <si>
    <t>NET SALES</t>
  </si>
  <si>
    <t>▲ 7.8% vs PY</t>
  </si>
  <si>
    <t>NET PROFIT</t>
  </si>
  <si>
    <t>▲ 11.4% vs PY</t>
  </si>
  <si>
    <t>GROSS MARGIN</t>
  </si>
  <si>
    <t>▲ 50 bps vs PY</t>
  </si>
  <si>
    <t>AVG TICKET</t>
  </si>
  <si>
    <t>▲ $6 vs PY</t>
  </si>
  <si>
    <t>ORDERS</t>
  </si>
  <si>
    <t>▲ 5.2% vs PY</t>
  </si>
  <si>
    <t>ACTIVE CUSTOMERS</t>
  </si>
  <si>
    <t>▲ 4.0% vs PY</t>
  </si>
  <si>
    <t>REV / CUSTOMER</t>
  </si>
  <si>
    <t>▲ 3.6% vs PY</t>
  </si>
  <si>
    <t>DISCOUNT RATE</t>
  </si>
  <si>
    <t>▼ 40 bps vs PY</t>
  </si>
  <si>
    <t>Executive Takeaways</t>
  </si>
  <si>
    <t>Data Quality Checks</t>
  </si>
  <si>
    <t>Holiday peak months (Nov-Dec) account for ~21% of LTM net sales; West is the largest region and Electronics/Grocery carry the sales base.</t>
  </si>
  <si>
    <t>Monthly = Category net sales</t>
  </si>
  <si>
    <t>Email and In-Store Event promos beat response targets; customer economics improve materially from Bronze to Platinum.</t>
  </si>
  <si>
    <t>Monthly = Promo net sales</t>
  </si>
  <si>
    <t>Active Refreshed 22-7-2026</t>
  </si>
  <si>
    <t>Retail Analytics Dashboard</t>
  </si>
  <si>
    <t>Row Labels</t>
  </si>
  <si>
    <t>gross_sales</t>
  </si>
  <si>
    <t>net_sales</t>
  </si>
  <si>
    <t>All month</t>
  </si>
  <si>
    <t>3</t>
  </si>
  <si>
    <t>9</t>
  </si>
  <si>
    <t>(blank)</t>
  </si>
  <si>
    <t>7</t>
  </si>
  <si>
    <t>12</t>
  </si>
  <si>
    <t>1</t>
  </si>
  <si>
    <t>4</t>
  </si>
  <si>
    <t>10</t>
  </si>
  <si>
    <t>8</t>
  </si>
  <si>
    <t>5</t>
  </si>
  <si>
    <t>2</t>
  </si>
  <si>
    <t>6</t>
  </si>
  <si>
    <t>11</t>
  </si>
  <si>
    <t>All item_category</t>
  </si>
  <si>
    <t>Men</t>
  </si>
  <si>
    <t>Books</t>
  </si>
  <si>
    <t>Children</t>
  </si>
  <si>
    <t>Jewelry</t>
  </si>
  <si>
    <t>Home</t>
  </si>
  <si>
    <t>Music</t>
  </si>
  <si>
    <t>Shoes</t>
  </si>
  <si>
    <t>Women</t>
  </si>
  <si>
    <t>All item_class</t>
  </si>
  <si>
    <t>athletic</t>
  </si>
  <si>
    <t>fiction</t>
  </si>
  <si>
    <t>classical</t>
  </si>
  <si>
    <t>accessories</t>
  </si>
  <si>
    <t>pants</t>
  </si>
  <si>
    <t>sailing</t>
  </si>
  <si>
    <t>sports</t>
  </si>
  <si>
    <t>televisions</t>
  </si>
  <si>
    <t>romance</t>
  </si>
  <si>
    <t>gold</t>
  </si>
  <si>
    <t>portable</t>
  </si>
  <si>
    <t>earings</t>
  </si>
  <si>
    <t>reference</t>
  </si>
  <si>
    <t>swimwear</t>
  </si>
  <si>
    <t>paint</t>
  </si>
  <si>
    <t>estate</t>
  </si>
  <si>
    <t>outdoor</t>
  </si>
  <si>
    <t>pop</t>
  </si>
  <si>
    <t>golf</t>
  </si>
  <si>
    <t>wireless</t>
  </si>
  <si>
    <t>jewelry boxes</t>
  </si>
  <si>
    <t>monitors</t>
  </si>
  <si>
    <t>guns</t>
  </si>
  <si>
    <t>baseball</t>
  </si>
  <si>
    <t>school-uniforms</t>
  </si>
  <si>
    <t>scanners</t>
  </si>
  <si>
    <t>mattresses</t>
  </si>
  <si>
    <t>history</t>
  </si>
  <si>
    <t>parenting</t>
  </si>
  <si>
    <t>home repair</t>
  </si>
  <si>
    <t>rugs</t>
  </si>
  <si>
    <t>tennis</t>
  </si>
  <si>
    <t>birdal</t>
  </si>
  <si>
    <t>semi-precious</t>
  </si>
  <si>
    <t>basketball</t>
  </si>
  <si>
    <t>rings</t>
  </si>
  <si>
    <t>personal</t>
  </si>
  <si>
    <t>curtains/drapes</t>
  </si>
  <si>
    <t>camping</t>
  </si>
  <si>
    <t>tables</t>
  </si>
  <si>
    <t>mystery</t>
  </si>
  <si>
    <t>fitness</t>
  </si>
  <si>
    <t>fishing</t>
  </si>
  <si>
    <t>automotive</t>
  </si>
  <si>
    <t>kids</t>
  </si>
  <si>
    <t>mens</t>
  </si>
  <si>
    <t>furniture</t>
  </si>
  <si>
    <t>hockey</t>
  </si>
  <si>
    <t>football</t>
  </si>
  <si>
    <t>dresses</t>
  </si>
  <si>
    <t>custom</t>
  </si>
  <si>
    <t>country</t>
  </si>
  <si>
    <t>flatware</t>
  </si>
  <si>
    <t>womens</t>
  </si>
  <si>
    <t>toddlers</t>
  </si>
  <si>
    <t>pools</t>
  </si>
  <si>
    <t>wallpaper</t>
  </si>
  <si>
    <t>infants</t>
  </si>
  <si>
    <t>science</t>
  </si>
  <si>
    <t>athletic shoes</t>
  </si>
  <si>
    <t>blinds/shades</t>
  </si>
  <si>
    <t>consignment</t>
  </si>
  <si>
    <t>self-help</t>
  </si>
  <si>
    <t>loose stones</t>
  </si>
  <si>
    <t>lighting</t>
  </si>
  <si>
    <t>rock</t>
  </si>
  <si>
    <t>glassware</t>
  </si>
  <si>
    <t>sports-apparel</t>
  </si>
  <si>
    <t>archery</t>
  </si>
  <si>
    <t>stereo</t>
  </si>
  <si>
    <t>cameras</t>
  </si>
  <si>
    <t>pendants</t>
  </si>
  <si>
    <t>diamonds</t>
  </si>
  <si>
    <t>shirts</t>
  </si>
  <si>
    <t>newborn</t>
  </si>
  <si>
    <t>accent</t>
  </si>
  <si>
    <t>memory</t>
  </si>
  <si>
    <t>costume</t>
  </si>
  <si>
    <t>disk drives</t>
  </si>
  <si>
    <t>audio</t>
  </si>
  <si>
    <t>bracelets</t>
  </si>
  <si>
    <t>mens watch</t>
  </si>
  <si>
    <t>cooking</t>
  </si>
  <si>
    <t>travel</t>
  </si>
  <si>
    <t>maternity</t>
  </si>
  <si>
    <t>bedding</t>
  </si>
  <si>
    <t>bathroom</t>
  </si>
  <si>
    <t>womens watch</t>
  </si>
  <si>
    <t>fragrances</t>
  </si>
  <si>
    <t>camcorders</t>
  </si>
  <si>
    <t>decor</t>
  </si>
  <si>
    <t>computers</t>
  </si>
  <si>
    <t>dvd/vcr players</t>
  </si>
  <si>
    <t>arts</t>
  </si>
  <si>
    <t>optics</t>
  </si>
  <si>
    <t>karoke</t>
  </si>
  <si>
    <t>musical</t>
  </si>
  <si>
    <t>entertainments</t>
  </si>
  <si>
    <t>business</t>
  </si>
  <si>
    <t>All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</si>
</sst>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200" formatCode="#,##0.0&quot;M&quot;"/>
    <numFmt numFmtId="201" formatCode="&quot;£&quot;0.0,&quot;bn&quot;"/>
    <numFmt numFmtId="164" formatCode="&quot;£&quot;0.0&quot;m&quot;"/>
    <numFmt numFmtId="165" formatCode="0.0%"/>
    <numFmt numFmtId="166" formatCode="&quot;£&quot;0"/>
    <numFmt numFmtId="167" formatCode="#,##0&quot;k&quot;"/>
    <numFmt numFmtId="168" formatCode="0.0\x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3B3838"/>
      <name val="Calibri"/>
      <scheme val="minor"/>
    </font>
    <font>
      <b/>
      <sz val="11"/>
      <color rgb="FFFFFFFF"/>
      <name val="Calibri"/>
      <scheme val="minor"/>
    </font>
    <font>
      <b/>
      <sz val="11"/>
      <color rgb="FF649B3F"/>
      <name val="Calibri"/>
      <scheme val="minor"/>
    </font>
    <font>
      <b/>
      <sz val="11"/>
      <color rgb="FFFFFFFF"/>
      <name val="Calibri"/>
      <family val="2"/>
      <scheme val="minor"/>
    </font>
    <font>
      <sz val="26"/>
      <color theme="7" tint="0.79998168889431442"/>
      <name val="Segoe UI Light"/>
      <family val="2"/>
    </font>
    <font>
      <b/>
      <sz val="12"/>
      <color rgb="FF649B3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3B3838"/>
      <name val="Segoe UI Light"/>
      <family val="2"/>
    </font>
    <font>
      <b/>
      <sz val="14"/>
      <color rgb="FF649B3F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49B3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0"/>
    <xf numFmtId="0" fontId="1" fillId="3" borderId="1"/>
  </cellStyleXfs>
  <cellXfs count="34">
    <xf numFmtId="0" fontId="0" fillId="0" borderId="0" xfId="0"/>
    <xf numFmtId="0" fontId="2" fillId="5" borderId="0" xfId="0" applyFont="1" applyFill="1"/>
    <xf numFmtId="0" fontId="3" fillId="6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4" fontId="2" fillId="7" borderId="0" xfId="0" applyNumberFormat="1" applyFont="1" applyFill="1" applyAlignment="1">
      <alignment horizontal="left" vertical="center"/>
    </xf>
    <xf numFmtId="165" fontId="2" fillId="3" borderId="0" xfId="0" applyNumberFormat="1" applyFont="1" applyFill="1" applyAlignment="1">
      <alignment horizontal="left" vertical="center"/>
    </xf>
    <xf numFmtId="167" fontId="2" fillId="7" borderId="0" xfId="0" applyNumberFormat="1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166" fontId="2" fillId="7" borderId="0" xfId="0" applyNumberFormat="1" applyFont="1" applyFill="1" applyAlignment="1">
      <alignment horizontal="left" vertical="center"/>
    </xf>
    <xf numFmtId="166" fontId="2" fillId="3" borderId="0" xfId="0" applyNumberFormat="1" applyFont="1" applyFill="1" applyAlignment="1">
      <alignment horizontal="left" vertical="center"/>
    </xf>
    <xf numFmtId="168" fontId="2" fillId="3" borderId="0" xfId="0" applyNumberFormat="1" applyFont="1" applyFill="1" applyAlignment="1">
      <alignment horizontal="left" vertical="center"/>
    </xf>
    <xf numFmtId="17" fontId="2" fillId="7" borderId="0" xfId="0" applyNumberFormat="1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164" fontId="10" fillId="7" borderId="0" xfId="0" applyNumberFormat="1" applyFont="1" applyFill="1" applyAlignment="1">
      <alignment horizontal="left" vertical="center" wrapText="1"/>
    </xf>
    <xf numFmtId="167" fontId="10" fillId="7" borderId="0" xfId="0" applyNumberFormat="1" applyFont="1" applyFill="1" applyAlignment="1">
      <alignment horizontal="left" vertical="center" wrapText="1"/>
    </xf>
    <xf numFmtId="165" fontId="10" fillId="7" borderId="0" xfId="0" applyNumberFormat="1" applyFont="1" applyFill="1" applyAlignment="1">
      <alignment horizontal="left" vertical="center" wrapText="1"/>
    </xf>
    <xf numFmtId="166" fontId="10" fillId="7" borderId="0" xfId="0" applyNumberFormat="1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1" fillId="7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center" vertical="center" wrapText="1"/>
    </xf>
    <xf numFmtId="0" fontId="0" fillId="0" borderId="0" xfId="0" applyNumberFormat="1"/>
    <xf numFmtId="201" fontId="10" fillId="7" borderId="0" xfId="0" applyNumberFormat="1" applyFont="1" applyFill="1" applyAlignment="1">
      <alignment horizontal="left" vertical="center" wrapText="1"/>
    </xf>
    <xf numFmtId="200" fontId="10" fillId="7" borderId="0" xfId="0" applyNumberFormat="1" applyFont="1" applyFill="1" applyAlignment="1">
      <alignment horizontal="left" vertical="center" wrapText="1"/>
    </xf>
  </cellXfs>
  <cellStyles count="3">
    <cellStyle name="GrayCell" xfId="1" xr:uid="{F9DF5C6D-1CB3-4579-A6C2-1EFE94D8FD05}"/>
    <cellStyle name="Normal" xfId="0" builtinId="0"/>
    <cellStyle name="YellowCell" xfId="2" xr:uid="{AA5E6C88-D267-4648-9341-73020A44DF8A}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649B3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0.0\x"/>
      <fill>
        <patternFill patternType="solid">
          <fgColor indexed="64"/>
          <bgColor rgb="FFFFFF9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649B3F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&quot;£&quot;0"/>
      <fill>
        <patternFill patternType="solid">
          <fgColor indexed="64"/>
          <bgColor rgb="FFFFFF9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&quot;£&quot;0"/>
      <fill>
        <patternFill patternType="solid">
          <fgColor indexed="64"/>
          <bgColor rgb="FFFFFF9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649B3F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0.0%"/>
      <fill>
        <patternFill patternType="solid">
          <fgColor indexed="64"/>
          <bgColor rgb="FFFFFF9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649B3F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6" formatCode="&quot;£&quot;0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0.0%"/>
      <fill>
        <patternFill patternType="solid">
          <fgColor indexed="64"/>
          <bgColor rgb="FFFFFF9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649B3F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7" formatCode="#,##0&quot;k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0.0%"/>
      <fill>
        <patternFill patternType="solid">
          <fgColor indexed="64"/>
          <bgColor rgb="FFFFFF9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&quot;£&quot;0.0&quot;m&quot;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1" formatCode="dd\-mmm"/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649B3F"/>
        </patternFill>
      </fill>
      <alignment horizontal="left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0904CE37-4DD9-43E7-9288-412C7DD82B55}"/>
  </tableStyles>
  <colors>
    <mruColors>
      <color rgb="FF649B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schemas.openxmlformats.org/officeDocument/2006/relationships/pivotCacheDefinition" Target="pivotCache/pivotCacheDefinition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Monthly Sales: Gross vs Net (£m)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Sheet1!$B$41</c:f>
              <c:strCache>
                <c:ptCount val="1"/>
                <c:pt idx="0">
                  <c:v>Gross Sales (£m)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Sheet1!$A$42:$A$53</c:f>
              <c:numCache>
                <c:formatCode>mmm\-yy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Sheet1!$B$42:$B$53</c:f>
              <c:numCache>
                <c:formatCode>"£"0.0"m"</c:formatCode>
                <c:ptCount val="12"/>
                <c:pt idx="0">
                  <c:v>595.66958074000001</c:v>
                </c:pt>
                <c:pt idx="1">
                  <c:v>461.52280542</c:v>
                </c:pt>
                <c:pt idx="2">
                  <c:v>489.38317745999996</c:v>
                </c:pt>
                <c:pt idx="3">
                  <c:v>480.99182952999996</c:v>
                </c:pt>
                <c:pt idx="4">
                  <c:v>502.49803781000003</c:v>
                </c:pt>
                <c:pt idx="5">
                  <c:v>490.38664858999999</c:v>
                </c:pt>
                <c:pt idx="6">
                  <c:v>495.25625832999998</c:v>
                </c:pt>
                <c:pt idx="7">
                  <c:v>1102.9754106099999</c:v>
                </c:pt>
                <c:pt idx="8">
                  <c:v>1120.9913151199999</c:v>
                </c:pt>
                <c:pt idx="9">
                  <c:v>1152.11346194</c:v>
                </c:pt>
                <c:pt idx="10">
                  <c:v>1636.3628086199999</c:v>
                </c:pt>
                <c:pt idx="11">
                  <c:v>1745.4146037099999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B-4CB5-BACA-134EF2CB425A}"/>
            </c:ext>
          </c:extLst>
        </c:ser>
        <c:ser>
          <c:idx val="2"/>
          <c:order val="2"/>
          <c:tx>
            <c:strRef>
              <c:f>Sheet1!$D$41</c:f>
              <c:strCache>
                <c:ptCount val="1"/>
                <c:pt idx="0">
                  <c:v>Net Sales (£m)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rgbClr val="649B3F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49B3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3B-4CB5-BACA-134EF2CB425A}"/>
              </c:ext>
            </c:extLst>
          </c:dPt>
          <c:cat>
            <c:numRef>
              <c:f>Sheet1!$A$42:$A$53</c:f>
              <c:numCache>
                <c:formatCode>mmm\-yy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46113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Sheet1!$D$42:$D$53</c:f>
              <c:numCache>
                <c:formatCode>"£"0.0"m"</c:formatCode>
                <c:ptCount val="12"/>
                <c:pt idx="0">
                  <c:v>268.26190071000002</c:v>
                </c:pt>
                <c:pt idx="1">
                  <c:v>208.35180419999998</c:v>
                </c:pt>
                <c:pt idx="2">
                  <c:v>220.44191883000002</c:v>
                </c:pt>
                <c:pt idx="3">
                  <c:v>216.59398877000001</c:v>
                </c:pt>
                <c:pt idx="4">
                  <c:v>227.43173892999999</c:v>
                </c:pt>
                <c:pt idx="5">
                  <c:v>221.29748599000001</c:v>
                </c:pt>
                <c:pt idx="6">
                  <c:v>223.21292663999998</c:v>
                </c:pt>
                <c:pt idx="7">
                  <c:v>497.32819161000003</c:v>
                </c:pt>
                <c:pt idx="8">
                  <c:v>504.60467519000002</c:v>
                </c:pt>
                <c:pt idx="9">
                  <c:v>519.01210736999997</c:v>
                </c:pt>
                <c:pt idx="10">
                  <c:v>737.46247786000004</c:v>
                </c:pt>
                <c:pt idx="11">
                  <c:v>784.94696876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B-4CB5-BACA-134EF2CB4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279951"/>
        <c:axId val="1727267471"/>
      </c:lineChart>
      <c:dateAx>
        <c:axId val="1727279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67471"/>
        <c:crosses val="autoZero"/>
        <c:auto val="1"/>
        <c:lblOffset val="100"/>
        <c:baseTimeUnit val="months"/>
      </c:dateAx>
      <c:valAx>
        <c:axId val="172726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0.0&quot;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7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Category Sales (£m)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Sheet1!$L$41</c:f>
              <c:strCache>
                <c:ptCount val="1"/>
                <c:pt idx="0">
                  <c:v>Gross Sales (£m)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Sheet1!$K$42:$K$47</c:f>
              <c:strCache>
                <c:ptCount val="6"/>
                <c:pt idx="0">
                  <c:v>Music</c:v>
                </c:pt>
                <c:pt idx="1">
                  <c:v>Shoes</c:v>
                </c:pt>
                <c:pt idx="2">
                  <c:v>Electronics</c:v>
                </c:pt>
                <c:pt idx="3">
                  <c:v>Home</c:v>
                </c:pt>
                <c:pt idx="4">
                  <c:v>Sports</c:v>
                </c:pt>
                <c:pt idx="5">
                  <c:v>Women</c:v>
                </c:pt>
              </c:strCache>
            </c:strRef>
          </c:cat>
          <c:val>
            <c:numRef>
              <c:f>Sheet1!$L$42:$L$47</c:f>
              <c:numCache>
                <c:formatCode>"£"0.0"m"</c:formatCode>
                <c:ptCount val="6"/>
                <c:pt idx="0">
                  <c:v>141.30000000000001</c:v>
                </c:pt>
                <c:pt idx="1">
                  <c:v>99.3</c:v>
                </c:pt>
                <c:pt idx="2">
                  <c:v>127.7</c:v>
                </c:pt>
                <c:pt idx="3">
                  <c:v>83.3</c:v>
                </c:pt>
                <c:pt idx="4">
                  <c:v>66.599999999999994</c:v>
                </c:pt>
                <c:pt idx="5">
                  <c:v>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3-4CB7-9463-4EC5DFB2478F}"/>
            </c:ext>
          </c:extLst>
        </c:ser>
        <c:ser>
          <c:idx val="2"/>
          <c:order val="2"/>
          <c:tx>
            <c:strRef>
              <c:f>Sheet1!$N$41</c:f>
              <c:strCache>
                <c:ptCount val="1"/>
                <c:pt idx="0">
                  <c:v>Net Sales (£m)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A73-4CB7-9463-4EC5DFB2478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A73-4CB7-9463-4EC5DFB2478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3-4CB7-9463-4EC5DFB2478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3-4CB7-9463-4EC5DFB2478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A73-4CB7-9463-4EC5DFB2478F}"/>
              </c:ext>
            </c:extLst>
          </c:dPt>
          <c:cat>
            <c:strRef>
              <c:f>Sheet1!$K$42:$K$47</c:f>
              <c:strCache>
                <c:ptCount val="6"/>
                <c:pt idx="0">
                  <c:v>Music</c:v>
                </c:pt>
                <c:pt idx="1">
                  <c:v>Shoes</c:v>
                </c:pt>
                <c:pt idx="2">
                  <c:v>Electronics</c:v>
                </c:pt>
                <c:pt idx="3">
                  <c:v>Home</c:v>
                </c:pt>
                <c:pt idx="4">
                  <c:v>Sports</c:v>
                </c:pt>
                <c:pt idx="5">
                  <c:v>Women</c:v>
                </c:pt>
              </c:strCache>
            </c:strRef>
          </c:cat>
          <c:val>
            <c:numRef>
              <c:f>Sheet1!$N$42:$N$47</c:f>
              <c:numCache>
                <c:formatCode>"£"0.0"m"</c:formatCode>
                <c:ptCount val="6"/>
                <c:pt idx="0">
                  <c:v>132.4</c:v>
                </c:pt>
                <c:pt idx="1">
                  <c:v>86.7</c:v>
                </c:pt>
                <c:pt idx="2">
                  <c:v>116.8</c:v>
                </c:pt>
                <c:pt idx="3">
                  <c:v>75.5</c:v>
                </c:pt>
                <c:pt idx="4">
                  <c:v>60.8</c:v>
                </c:pt>
                <c:pt idx="5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3-4CB7-9463-4EC5DFB2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27274191"/>
        <c:axId val="1727274671"/>
      </c:barChart>
      <c:catAx>
        <c:axId val="17272741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74671"/>
        <c:crosses val="autoZero"/>
        <c:auto val="1"/>
        <c:lblAlgn val="ctr"/>
        <c:lblOffset val="100"/>
        <c:noMultiLvlLbl val="0"/>
      </c:catAx>
      <c:valAx>
        <c:axId val="172727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0.0&quot;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7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 Product Classes (£m)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Sheet1!$S$64</c:f>
              <c:strCache>
                <c:ptCount val="1"/>
                <c:pt idx="0">
                  <c:v>Net Sales (£m)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Sheet1!$R$65:$R$70</c:f>
              <c:strCache>
                <c:ptCount val="6"/>
                <c:pt idx="0">
                  <c:v>kids</c:v>
                </c:pt>
                <c:pt idx="1">
                  <c:v>classical</c:v>
                </c:pt>
                <c:pt idx="2">
                  <c:v>mens</c:v>
                </c:pt>
                <c:pt idx="3">
                  <c:v>pop</c:v>
                </c:pt>
                <c:pt idx="4">
                  <c:v>shirts</c:v>
                </c:pt>
                <c:pt idx="5">
                  <c:v>fragrances</c:v>
                </c:pt>
              </c:strCache>
            </c:strRef>
          </c:cat>
          <c:val>
            <c:numRef>
              <c:f>Sheet1!$S$65:$S$70</c:f>
              <c:numCache>
                <c:formatCode>"£"0.0"m"</c:formatCode>
                <c:ptCount val="6"/>
                <c:pt idx="0">
                  <c:v>27.2</c:v>
                </c:pt>
                <c:pt idx="1">
                  <c:v>14</c:v>
                </c:pt>
                <c:pt idx="2">
                  <c:v>10.3</c:v>
                </c:pt>
                <c:pt idx="3">
                  <c:v>12.8</c:v>
                </c:pt>
                <c:pt idx="4">
                  <c:v>7.2</c:v>
                </c:pt>
                <c:pt idx="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2-4F54-A62E-8F4C29D6F2B6}"/>
            </c:ext>
          </c:extLst>
        </c:ser>
        <c:ser>
          <c:idx val="1"/>
          <c:order val="1"/>
          <c:tx>
            <c:strRef>
              <c:f>Sheet1!$T$64</c:f>
              <c:strCache>
                <c:ptCount val="1"/>
                <c:pt idx="0">
                  <c:v>Gross Sales (£m)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Sheet1!$R$65:$R$70</c:f>
              <c:strCache>
                <c:ptCount val="6"/>
                <c:pt idx="0">
                  <c:v>kids</c:v>
                </c:pt>
                <c:pt idx="1">
                  <c:v>classical</c:v>
                </c:pt>
                <c:pt idx="2">
                  <c:v>mens</c:v>
                </c:pt>
                <c:pt idx="3">
                  <c:v>pop</c:v>
                </c:pt>
                <c:pt idx="4">
                  <c:v>shirts</c:v>
                </c:pt>
                <c:pt idx="5">
                  <c:v>fragrances</c:v>
                </c:pt>
              </c:strCache>
            </c:strRef>
          </c:cat>
          <c:val>
            <c:numRef>
              <c:f>Sheet1!$T$65:$T$70</c:f>
              <c:numCache>
                <c:formatCode>"£"0.0"m"</c:formatCode>
                <c:ptCount val="6"/>
                <c:pt idx="0">
                  <c:v>0</c:v>
                </c:pt>
                <c:pt idx="1">
                  <c:v>1.6</c:v>
                </c:pt>
                <c:pt idx="2">
                  <c:v>2.4</c:v>
                </c:pt>
                <c:pt idx="3">
                  <c:v>4.5</c:v>
                </c:pt>
                <c:pt idx="4">
                  <c:v>5.0999999999999996</c:v>
                </c:pt>
                <c:pt idx="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2-4F54-A62E-8F4C29D6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27286671"/>
        <c:axId val="1727284751"/>
      </c:barChart>
      <c:catAx>
        <c:axId val="17272866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Product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84751"/>
        <c:crosses val="autoZero"/>
        <c:auto val="1"/>
        <c:lblAlgn val="ctr"/>
        <c:lblOffset val="100"/>
        <c:noMultiLvlLbl val="0"/>
      </c:catAx>
      <c:valAx>
        <c:axId val="1727284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0.0&quot;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8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Net Sales by Quarter (£m)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Sheet1!$L$56</c:f>
              <c:strCache>
                <c:ptCount val="1"/>
                <c:pt idx="0">
                  <c:v>Net Sales (£m)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4B-4281-BDBD-ECFA83077D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4B-4281-BDBD-ECFA83077DE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54B-4281-BDBD-ECFA83077DE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B-4281-BDBD-ECFA83077DE9}"/>
              </c:ext>
            </c:extLst>
          </c:dPt>
          <c:cat>
            <c:strRef>
              <c:f>Sheet1!$K$57:$K$60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Sheet1!$L$57:$L$60</c:f>
              <c:numCache>
                <c:formatCode>"£"0.0"m"</c:formatCode>
                <c:ptCount val="4"/>
                <c:pt idx="0">
                  <c:v>64</c:v>
                </c:pt>
                <c:pt idx="1">
                  <c:v>127</c:v>
                </c:pt>
                <c:pt idx="2">
                  <c:v>174.5</c:v>
                </c:pt>
                <c:pt idx="3">
                  <c:v>142.5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B-4281-BDBD-ECFA83077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27247311"/>
        <c:axId val="1727243471"/>
      </c:barChart>
      <c:catAx>
        <c:axId val="17272473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Quarter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43471"/>
        <c:crosses val="autoZero"/>
        <c:auto val="1"/>
        <c:lblAlgn val="ctr"/>
        <c:lblOffset val="100"/>
        <c:noMultiLvlLbl val="0"/>
      </c:catAx>
      <c:valAx>
        <c:axId val="1727243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0.0&quot;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24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</xdr:rowOff>
    </xdr:from>
    <xdr:to>
      <xdr:col>7</xdr:col>
      <xdr:colOff>1039585</xdr:colOff>
      <xdr:row>22</xdr:row>
      <xdr:rowOff>0</xdr:rowOff>
    </xdr:to>
    <xdr:graphicFrame macro="">
      <xdr:nvGraphicFramePr>
        <xdr:cNvPr id="2" name="cht_monthly_sales_funnel">
          <a:extLst>
            <a:ext uri="{FF2B5EF4-FFF2-40B4-BE49-F238E27FC236}">
              <a16:creationId xmlns:a16="http://schemas.microsoft.com/office/drawing/2014/main" id="{8873554D-E4D8-09C4-B98E-2FC51128C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1039585</xdr:colOff>
      <xdr:row>9</xdr:row>
      <xdr:rowOff>1</xdr:rowOff>
    </xdr:from>
    <xdr:to>
      <xdr:col>15</xdr:col>
      <xdr:colOff>1039584</xdr:colOff>
      <xdr:row>22</xdr:row>
      <xdr:rowOff>0</xdr:rowOff>
    </xdr:to>
    <xdr:graphicFrame macro="">
      <xdr:nvGraphicFramePr>
        <xdr:cNvPr id="3" name="cht_category_performance">
          <a:extLst>
            <a:ext uri="{FF2B5EF4-FFF2-40B4-BE49-F238E27FC236}">
              <a16:creationId xmlns:a16="http://schemas.microsoft.com/office/drawing/2014/main" id="{C7A27C80-3F47-09AB-303C-8B95291DE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1039585</xdr:colOff>
      <xdr:row>22</xdr:row>
      <xdr:rowOff>1</xdr:rowOff>
    </xdr:from>
    <xdr:to>
      <xdr:col>15</xdr:col>
      <xdr:colOff>1039584</xdr:colOff>
      <xdr:row>35</xdr:row>
      <xdr:rowOff>1</xdr:rowOff>
    </xdr:to>
    <xdr:graphicFrame macro="">
      <xdr:nvGraphicFramePr>
        <xdr:cNvPr id="5" name="cht_promotion_roi">
          <a:extLst>
            <a:ext uri="{FF2B5EF4-FFF2-40B4-BE49-F238E27FC236}">
              <a16:creationId xmlns:a16="http://schemas.microsoft.com/office/drawing/2014/main" id="{B50264DA-C472-6F7A-7567-4EED58FDC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1</xdr:rowOff>
    </xdr:from>
    <xdr:to>
      <xdr:col>7</xdr:col>
      <xdr:colOff>1039585</xdr:colOff>
      <xdr:row>35</xdr:row>
      <xdr:rowOff>1</xdr:rowOff>
    </xdr:to>
    <xdr:graphicFrame macro="">
      <xdr:nvGraphicFramePr>
        <xdr:cNvPr id="6" name="cht_segment_mix">
          <a:extLst>
            <a:ext uri="{FF2B5EF4-FFF2-40B4-BE49-F238E27FC236}">
              <a16:creationId xmlns:a16="http://schemas.microsoft.com/office/drawing/2014/main" id="{343E174D-4DE6-88C4-9A7E-99D6674CB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1" refreshedBy="Mohammed Othman" refreshedDate="46201.150505555554" createdVersion="8" refreshedVersion="8" minRefreshableVersion="3" recordCount="0" supportSubquery="1" supportAdvancedDrill="1" xr:uid="{8A61C9DA-F778-48E3-83B2-808F02C8620F}">
  <cacheSource type="external" connectionId="1"/>
  <cacheFields count="30">
    <cacheField name="[month].[month].[(All)]" caption="(All)" numFmtId="0" hierarchy="5">
      <sharedItems count="1">
        <s v="[month].[month].[All]" c="All month"/>
      </sharedItems>
    </cacheField>
    <cacheField name="[month].[month].[month]" caption="month" numFmtId="0" hierarchy="5" level="1">
      <sharedItems count="13">
        <s v="[month].[month].[3]" c="3"/>
        <s v="[month].[month].[9]" c="9"/>
        <s v="[month].[month].[(blank)]" c="(blank)"/>
        <s v="[month].[month].[7]" c="7"/>
        <s v="[month].[month].[12]" c="12"/>
        <s v="[month].[month].[1]" c="1"/>
        <s v="[month].[month].[4]" c="4"/>
        <s v="[month].[month].[10]" c="10"/>
        <s v="[month].[month].[8]" c="8"/>
        <s v="[month].[month].[5]" c="5"/>
        <s v="[month].[month].[2]" c="2"/>
        <s v="[month].[month].[6]" c="6"/>
        <s v="[month].[month].[11]" c="11"/>
      </sharedItems>
    </cacheField>
    <cacheField name="[month].[month].[(All)].[MEMBER_KEY]" caption="MEMBER_KEY" propertyName="MEMBER_KEY" numFmtId="0" hierarchy="5" memberPropertyField="1">
      <sharedItems containsSemiMixedTypes="0" containsString="0"/>
    </cacheField>
    <cacheField name="[month].[month].[(All)].[MEMBER_VALUE]" caption="MEMBER_VALUE" propertyName="MEMBER_VALUE" numFmtId="0" hierarchy="5" memberPropertyField="1">
      <sharedItems containsSemiMixedTypes="0" containsString="0"/>
    </cacheField>
    <cacheField name="[month].[month].[(All)].[MEMBER_NAME]" caption="MEMBER_NAME" propertyName="MEMBER_NAME" numFmtId="0" hierarchy="5" memberPropertyField="1">
      <sharedItems containsSemiMixedTypes="0" containsString="0"/>
    </cacheField>
    <cacheField name="[month].[month].[(All)].[MEMBER_UNIQUE_NAME]" caption="MEMBER_UNIQUE_NAME" propertyName="MEMBER_UNIQUE_NAME" numFmtId="0" hierarchy="5" memberPropertyField="1">
      <sharedItems containsSemiMixedTypes="0" containsString="0"/>
    </cacheField>
    <cacheField name="[month].[month].[(All)].[MEMBER_CAPTION]" caption="MEMBER_CAPTION" propertyName="MEMBER_CAPTION" numFmtId="0" hierarchy="5" memberPropertyField="1">
      <sharedItems containsSemiMixedTypes="0" containsString="0"/>
    </cacheField>
    <cacheField name="[month].[month].[(All)].[LEVEL_UNIQUE_NAME]" caption="LEVEL_UNIQUE_NAME" propertyName="LEVEL_UNIQUE_NAME" numFmtId="0" hierarchy="5" memberPropertyField="1">
      <sharedItems containsSemiMixedTypes="0" containsString="0"/>
    </cacheField>
    <cacheField name="[month].[month].[(All)].[LEVEL_NUMBER]" caption="LEVEL_NUMBER" propertyName="LEVEL_NUMBER" numFmtId="0" hierarchy="5" memberPropertyField="1">
      <sharedItems containsSemiMixedTypes="0" containsString="0"/>
    </cacheField>
    <cacheField name="[month].[month].[(All)].[PARENT_UNIQUE_NAME]" caption="PARENT_UNIQUE_NAME" propertyName="PARENT_UNIQUE_NAME" numFmtId="0" hierarchy="5" memberPropertyField="1">
      <sharedItems containsSemiMixedTypes="0" containsString="0"/>
    </cacheField>
    <cacheField name="[month].[month].[(All)].[HIERARCHY_UNIQUE_NAME]" caption="HIERARCHY_UNIQUE_NAME" propertyName="HIERARCHY_UNIQUE_NAME" numFmtId="0" hierarchy="5" memberPropertyField="1">
      <sharedItems containsSemiMixedTypes="0" containsString="0"/>
    </cacheField>
    <cacheField name="[month].[month].[(All)].[MEMBER_TYPE]" caption="MEMBER_TYPE" propertyName="MEMBER_TYPE" numFmtId="0" hierarchy="5" memberPropertyField="1">
      <sharedItems containsSemiMixedTypes="0" containsString="0"/>
    </cacheField>
    <cacheField name="[month].[month].[(All)].[MEMBER_ORDINAL]" caption="MEMBER_ORDINAL" propertyName="MEMBER_ORDINAL" numFmtId="0" hierarchy="5" memberPropertyField="1">
      <sharedItems containsSemiMixedTypes="0" containsString="0"/>
    </cacheField>
    <cacheField name="[month].[month].[(All)].[CHILDREN_CARDINALITY]" caption="CHILDREN_CARDINALITY" propertyName="CHILDREN_CARDINALITY" numFmtId="0" hierarchy="5" memberPropertyField="1">
      <sharedItems containsSemiMixedTypes="0" containsString="0"/>
    </cacheField>
    <cacheField name="[month].[month].[(All)].[DISPLAY_INFO]" caption="DISPLAY_INFO" propertyName="DISPLAY_INFO" numFmtId="0" hierarchy="5" memberPropertyField="1">
      <sharedItems containsSemiMixedTypes="0" containsString="0"/>
    </cacheField>
    <cacheField name="[month].[month].[month].[MEMBER_KEY]" caption="MEMBER_KEY" propertyName="MEMBER_KEY" numFmtId="0" hierarchy="5" level="1" memberPropertyField="1">
      <sharedItems containsSemiMixedTypes="0" containsString="0"/>
    </cacheField>
    <cacheField name="[month].[month].[month].[MEMBER_VALUE]" caption="MEMBER_VALUE" propertyName="MEMBER_VALUE" numFmtId="0" hierarchy="5" level="1" memberPropertyField="1">
      <sharedItems containsSemiMixedTypes="0" containsString="0"/>
    </cacheField>
    <cacheField name="[month].[month].[month].[MEMBER_NAME]" caption="MEMBER_NAME" propertyName="MEMBER_NAME" numFmtId="0" hierarchy="5" level="1" memberPropertyField="1">
      <sharedItems containsSemiMixedTypes="0" containsString="0"/>
    </cacheField>
    <cacheField name="[month].[month].[month].[MEMBER_UNIQUE_NAME]" caption="MEMBER_UNIQUE_NAME" propertyName="MEMBER_UNIQUE_NAME" numFmtId="0" hierarchy="5" level="1" memberPropertyField="1">
      <sharedItems containsSemiMixedTypes="0" containsString="0"/>
    </cacheField>
    <cacheField name="[month].[month].[month].[MEMBER_CAPTION]" caption="MEMBER_CAPTION" propertyName="MEMBER_CAPTION" numFmtId="0" hierarchy="5" level="1" memberPropertyField="1">
      <sharedItems containsSemiMixedTypes="0" containsString="0"/>
    </cacheField>
    <cacheField name="[month].[month].[month].[LEVEL_UNIQUE_NAME]" caption="LEVEL_UNIQUE_NAME" propertyName="LEVEL_UNIQUE_NAME" numFmtId="0" hierarchy="5" level="1" memberPropertyField="1">
      <sharedItems containsSemiMixedTypes="0" containsString="0"/>
    </cacheField>
    <cacheField name="[month].[month].[month].[LEVEL_NUMBER]" caption="LEVEL_NUMBER" propertyName="LEVEL_NUMBER" numFmtId="0" hierarchy="5" level="1" memberPropertyField="1">
      <sharedItems containsSemiMixedTypes="0" containsString="0"/>
    </cacheField>
    <cacheField name="[month].[month].[month].[PARENT_UNIQUE_NAME]" caption="PARENT_UNIQUE_NAME" propertyName="PARENT_UNIQUE_NAME" numFmtId="0" hierarchy="5" level="1" memberPropertyField="1">
      <sharedItems containsSemiMixedTypes="0" containsString="0"/>
    </cacheField>
    <cacheField name="[month].[month].[month].[HIERARCHY_UNIQUE_NAME]" caption="HIERARCHY_UNIQUE_NAME" propertyName="HIERARCHY_UNIQUE_NAME" numFmtId="0" hierarchy="5" level="1" memberPropertyField="1">
      <sharedItems containsSemiMixedTypes="0" containsString="0"/>
    </cacheField>
    <cacheField name="[month].[month].[month].[MEMBER_TYPE]" caption="MEMBER_TYPE" propertyName="MEMBER_TYPE" numFmtId="0" hierarchy="5" level="1" memberPropertyField="1">
      <sharedItems containsSemiMixedTypes="0" containsString="0"/>
    </cacheField>
    <cacheField name="[month].[month].[month].[MEMBER_ORDINAL]" caption="MEMBER_ORDINAL" propertyName="MEMBER_ORDINAL" numFmtId="0" hierarchy="5" level="1" memberPropertyField="1">
      <sharedItems containsSemiMixedTypes="0" containsString="0"/>
    </cacheField>
    <cacheField name="[month].[month].[month].[CHILDREN_CARDINALITY]" caption="CHILDREN_CARDINALITY" propertyName="CHILDREN_CARDINALITY" numFmtId="0" hierarchy="5" level="1" memberPropertyField="1">
      <sharedItems containsSemiMixedTypes="0" containsString="0"/>
    </cacheField>
    <cacheField name="[month].[month].[month].[DISPLAY_INFO]" caption="DISPLAY_INFO" propertyName="DISPLAY_INFO" numFmtId="0" hierarchy="5" level="1" memberPropertyField="1">
      <sharedItems containsSemiMixedTypes="0" containsString="0"/>
    </cacheField>
    <cacheField name="[Measures].[gross_sales]" caption="gross_sales" numFmtId="0" hierarchy="16" level="32767"/>
    <cacheField name="[Measures].[net_sales]" caption="net_sales" numFmtId="0" hierarchy="18" level="32767"/>
  </cacheFields>
  <cacheHierarchies count="25">
    <cacheHierarchy uniqueName="[customer_segment].[customer_segment]" caption="customer_segment" defaultMemberUniqueName="[customer_segment].[customer_segment].[All]" dimensionUniqueName="[customer_segment]" displayFolder="" count="0" unbalanced="0"/>
    <cacheHierarchy uniqueName="[date].[date]" caption="date" time="1" defaultMemberUniqueName="[date].[date].[All]" dimensionUniqueName="[date]" displayFolder="" count="0" unbalanced="0"/>
    <cacheHierarchy uniqueName="[item_brand].[item_brand]" caption="item_brand" defaultMemberUniqueName="[item_brand].[item_brand].[All]" dimensionUniqueName="[item_brand]" displayFolder="" count="0" unbalanced="0"/>
    <cacheHierarchy uniqueName="[item_category].[item_category]" caption="item_category" defaultMemberUniqueName="[item_category].[item_category].[All]" dimensionUniqueName="[item_category]" displayFolder="" count="0" unbalanced="0"/>
    <cacheHierarchy uniqueName="[item_class].[item_class]" caption="item_class" defaultMemberUniqueName="[item_class].[item_class].[All]" dimensionUniqueName="[item_class]" displayFolder="" count="0" unbalanced="0"/>
    <cacheHierarchy uniqueName="[month].[month]" caption="month" time="1" defaultMemberUniqueName="[month].[month].[All]" dimensionUniqueName="[month]" displayFolder="" count="2" unbalanced="0">
      <fieldsUsage count="2">
        <fieldUsage x="0"/>
        <fieldUsage x="1"/>
      </fieldsUsage>
    </cacheHierarchy>
    <cacheHierarchy uniqueName="[promotion_type].[promotion_type]" caption="promotion_type" defaultMemberUniqueName="[promotion_type].[promotion_type].[All]" dimensionUniqueName="[promotion_type]" displayFolder="" count="0" unbalanced="0"/>
    <cacheHierarchy uniqueName="[quarter].[quarter]" caption="quarter" time="1" defaultMemberUniqueName="[quarter].[quarter].[All]" dimensionUniqueName="[quarter]" displayFolder="" count="0" unbalanced="0"/>
    <cacheHierarchy uniqueName="[sales_channel].[sales_channel]" caption="sales_channel" defaultMemberUniqueName="[sales_channel].[sales_channel].[All]" dimensionUniqueName="[sales_channel]" displayFolder="" count="0" unbalanced="0"/>
    <cacheHierarchy uniqueName="[store_region].[store_region]" caption="store_region" defaultMemberUniqueName="[store_region].[store_region].[All]" dimensionUniqueName="[store_region]" displayFolder="" count="0" unbalanced="0"/>
    <cacheHierarchy uniqueName="[store_state].[store_state]" caption="store_state" defaultMemberUniqueName="[store_state].[store_state].[All]" dimensionUniqueName="[store_state]" displayFolder="" count="0" unbalanced="0"/>
    <cacheHierarchy uniqueName="[year].[year]" caption="year" time="1" defaultMemberUniqueName="[year].[year].[All]" dimensionUniqueName="[year]" displayFolder="" count="0" unbalanced="0"/>
    <cacheHierarchy uniqueName="[Measures].[average_ticket]" caption="average_ticket" measure="1" displayFolder="" measureGroup="default" count="0"/>
    <cacheHierarchy uniqueName="[Measures].[customer_count]" caption="customer_count" measure="1" displayFolder="" measureGroup="default" count="0"/>
    <cacheHierarchy uniqueName="[Measures].[discount_amount]" caption="discount_amount" measure="1" displayFolder="" measureGroup="default" count="0"/>
    <cacheHierarchy uniqueName="[Measures].[gross_margin]" caption="gross_margin" measure="1" displayFolder="" measureGroup="default" count="0"/>
    <cacheHierarchy uniqueName="[Measures].[gross_sales]" caption="gross_sales" measure="1" displayFolder="" measureGroup="default" count="0" oneField="1">
      <fieldsUsage count="1">
        <fieldUsage x="28"/>
      </fieldsUsage>
    </cacheHierarchy>
    <cacheHierarchy uniqueName="[Measures].[net_profit]" caption="net_profit" measure="1" displayFolder="" measureGroup="default" count="0"/>
    <cacheHierarchy uniqueName="[Measures].[net_sales]" caption="net_sales" measure="1" displayFolder="" measureGroup="default" count="0" oneField="1">
      <fieldsUsage count="1">
        <fieldUsage x="29"/>
      </fieldsUsage>
    </cacheHierarchy>
    <cacheHierarchy uniqueName="[Measures].[order_count]" caption="order_count" measure="1" displayFolder="" measureGroup="default" count="0"/>
    <cacheHierarchy uniqueName="[Measures].[quantity]" caption="quantity" measure="1" displayFolder="" measureGroup="default" count="0"/>
    <cacheHierarchy uniqueName="[Measures].[revenue_per_customer]" caption="revenue_per_customer" measure="1" displayFolder="" measureGroup="default" count="0"/>
    <cacheHierarchy uniqueName="[Measures].[_info_last_refreshed]" caption="Last Refreshed" measure="1" displayFolder="Info" measureGroup="default" count="0"/>
    <cacheHierarchy uniqueName="[Measures].[_info_source_system]" caption="Source System" measure="1" displayFolder="Info" measureGroup="default" count="0"/>
    <cacheHierarchy uniqueName="[Measures].[_info_owner]" caption="Owner" measure="1" displayFolder="Info" measureGroup="default" count="0"/>
  </cacheHierarchies>
  <kpis count="0"/>
  <dimensions count="13">
    <dimension name="customer_segment" uniqueName="[customer_segment]" caption="customer_segment"/>
    <dimension name="date" uniqueName="[date]" caption="date"/>
    <dimension name="item_brand" uniqueName="[item_brand]" caption="item_brand"/>
    <dimension name="item_category" uniqueName="[item_category]" caption="item_category"/>
    <dimension name="item_class" uniqueName="[item_class]" caption="item_class"/>
    <dimension name="month" uniqueName="[month]" caption="month"/>
    <dimension name="promotion_type" uniqueName="[promotion_type]" caption="promotion_type"/>
    <dimension name="quarter" uniqueName="[quarter]" caption="quarter"/>
    <dimension name="sales_channel" uniqueName="[sales_channel]" caption="sales_channel"/>
    <dimension name="store_region" uniqueName="[store_region]" caption="store_region"/>
    <dimension name="store_state" uniqueName="[store_state]" caption="store_state"/>
    <dimension name="year" uniqueName="[year]" caption="year"/>
    <dimension measure="1" name="Measures" uniqueName="[Measures]" caption="Measures"/>
  </dimensions>
  <measureGroups count="1">
    <measureGroup name="default" caption="default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1" refreshedBy="Mohammed Othman" refreshedDate="46201.167183449077" createdVersion="8" refreshedVersion="8" minRefreshableVersion="3" recordCount="0" supportSubquery="1" supportAdvancedDrill="1" xr:uid="{AB4355BF-5E75-475D-A005-60F3AB531AA4}">
  <cacheSource type="external" connectionId="1"/>
  <cacheFields count="30">
    <cacheField name="[Measures].[gross_sales]" caption="gross_sales" numFmtId="0" hierarchy="16" level="32767"/>
    <cacheField name="[Measures].[net_sales]" caption="net_sales" numFmtId="0" hierarchy="18" level="32767"/>
    <cacheField name="[item_category].[item_category].[(All)]" caption="(All)" numFmtId="0" hierarchy="3">
      <sharedItems count="1">
        <s v="[item_category].[item_category].[All]" c="All item_category"/>
      </sharedItems>
    </cacheField>
    <cacheField name="[item_category].[item_category].[item_category]" caption="item_category" numFmtId="0" hierarchy="3" level="1">
      <sharedItems count="11">
        <s v="[item_category].[item_category].[Sports]" c="Sports"/>
        <s v="[item_category].[item_category].[Men]" c="Men"/>
        <s v="[item_category].[item_category].[Children]" c="Children"/>
        <s v="[item_category].[item_category].[Jewelry]" c="Jewelry"/>
        <s v="[item_category].[item_category].[Electronics]" c="Electronics"/>
        <s v="[item_category].[item_category].[Music]" c="Music"/>
        <s v="[item_category].[item_category].[Books]" c="Books"/>
        <s v="[item_category].[item_category].[Shoes]" c="Shoes"/>
        <s v="[item_category].[item_category].[Women]" c="Women"/>
        <s v="[item_category].[item_category].[Home]" c="Home"/>
        <s v="[item_category].[item_category].[(blank)]" c="(blank)"/>
      </sharedItems>
    </cacheField>
    <cacheField name="[item_category].[item_category].[(All)].[MEMBER_KEY]" caption="MEMBER_KEY" propertyName="MEMBER_KEY" numFmtId="0" hierarchy="3" memberPropertyField="1">
      <sharedItems containsSemiMixedTypes="0" containsString="0"/>
    </cacheField>
    <cacheField name="[item_category].[item_category].[(All)].[MEMBER_VALUE]" caption="MEMBER_VALUE" propertyName="MEMBER_VALUE" numFmtId="0" hierarchy="3" memberPropertyField="1">
      <sharedItems containsSemiMixedTypes="0" containsString="0"/>
    </cacheField>
    <cacheField name="[item_category].[item_category].[(All)].[MEMBER_NAME]" caption="MEMBER_NAME" propertyName="MEMBER_NAME" numFmtId="0" hierarchy="3" memberPropertyField="1">
      <sharedItems containsSemiMixedTypes="0" containsString="0"/>
    </cacheField>
    <cacheField name="[item_category].[item_category].[(All)].[MEMBER_UNIQUE_NAME]" caption="MEMBER_UNIQUE_NAME" propertyName="MEMBER_UNIQUE_NAME" numFmtId="0" hierarchy="3" memberPropertyField="1">
      <sharedItems containsSemiMixedTypes="0" containsString="0"/>
    </cacheField>
    <cacheField name="[item_category].[item_category].[(All)].[MEMBER_CAPTION]" caption="MEMBER_CAPTION" propertyName="MEMBER_CAPTION" numFmtId="0" hierarchy="3" memberPropertyField="1">
      <sharedItems containsSemiMixedTypes="0" containsString="0"/>
    </cacheField>
    <cacheField name="[item_category].[item_category].[(All)].[LEVEL_UNIQUE_NAME]" caption="LEVEL_UNIQUE_NAME" propertyName="LEVEL_UNIQUE_NAME" numFmtId="0" hierarchy="3" memberPropertyField="1">
      <sharedItems containsSemiMixedTypes="0" containsString="0"/>
    </cacheField>
    <cacheField name="[item_category].[item_category].[(All)].[LEVEL_NUMBER]" caption="LEVEL_NUMBER" propertyName="LEVEL_NUMBER" numFmtId="0" hierarchy="3" memberPropertyField="1">
      <sharedItems containsSemiMixedTypes="0" containsString="0"/>
    </cacheField>
    <cacheField name="[item_category].[item_category].[(All)].[PARENT_UNIQUE_NAME]" caption="PARENT_UNIQUE_NAME" propertyName="PARENT_UNIQUE_NAME" numFmtId="0" hierarchy="3" memberPropertyField="1">
      <sharedItems containsSemiMixedTypes="0" containsString="0"/>
    </cacheField>
    <cacheField name="[item_category].[item_category].[(All)].[HIERARCHY_UNIQUE_NAME]" caption="HIERARCHY_UNIQUE_NAME" propertyName="HIERARCHY_UNIQUE_NAME" numFmtId="0" hierarchy="3" memberPropertyField="1">
      <sharedItems containsSemiMixedTypes="0" containsString="0"/>
    </cacheField>
    <cacheField name="[item_category].[item_category].[(All)].[MEMBER_TYPE]" caption="MEMBER_TYPE" propertyName="MEMBER_TYPE" numFmtId="0" hierarchy="3" memberPropertyField="1">
      <sharedItems containsSemiMixedTypes="0" containsString="0"/>
    </cacheField>
    <cacheField name="[item_category].[item_category].[(All)].[MEMBER_ORDINAL]" caption="MEMBER_ORDINAL" propertyName="MEMBER_ORDINAL" numFmtId="0" hierarchy="3" memberPropertyField="1">
      <sharedItems containsSemiMixedTypes="0" containsString="0"/>
    </cacheField>
    <cacheField name="[item_category].[item_category].[(All)].[CHILDREN_CARDINALITY]" caption="CHILDREN_CARDINALITY" propertyName="CHILDREN_CARDINALITY" numFmtId="0" hierarchy="3" memberPropertyField="1">
      <sharedItems containsSemiMixedTypes="0" containsString="0"/>
    </cacheField>
    <cacheField name="[item_category].[item_category].[(All)].[DISPLAY_INFO]" caption="DISPLAY_INFO" propertyName="DISPLAY_INFO" numFmtId="0" hierarchy="3" memberPropertyField="1">
      <sharedItems containsSemiMixedTypes="0" containsString="0"/>
    </cacheField>
    <cacheField name="[item_category].[item_category].[item_category].[MEMBER_KEY]" caption="MEMBER_KEY" propertyName="MEMBER_KEY" numFmtId="0" hierarchy="3" level="1" memberPropertyField="1">
      <sharedItems containsSemiMixedTypes="0" containsString="0"/>
    </cacheField>
    <cacheField name="[item_category].[item_category].[item_category].[MEMBER_VALUE]" caption="MEMBER_VALUE" propertyName="MEMBER_VALUE" numFmtId="0" hierarchy="3" level="1" memberPropertyField="1">
      <sharedItems containsSemiMixedTypes="0" containsString="0"/>
    </cacheField>
    <cacheField name="[item_category].[item_category].[item_category].[MEMBER_NAME]" caption="MEMBER_NAME" propertyName="MEMBER_NAME" numFmtId="0" hierarchy="3" level="1" memberPropertyField="1">
      <sharedItems containsSemiMixedTypes="0" containsString="0"/>
    </cacheField>
    <cacheField name="[item_category].[item_category].[item_category].[MEMBER_UNIQUE_NAME]" caption="MEMBER_UNIQUE_NAME" propertyName="MEMBER_UNIQUE_NAME" numFmtId="0" hierarchy="3" level="1" memberPropertyField="1">
      <sharedItems containsSemiMixedTypes="0" containsString="0"/>
    </cacheField>
    <cacheField name="[item_category].[item_category].[item_category].[MEMBER_CAPTION]" caption="MEMBER_CAPTION" propertyName="MEMBER_CAPTION" numFmtId="0" hierarchy="3" level="1" memberPropertyField="1">
      <sharedItems containsSemiMixedTypes="0" containsString="0"/>
    </cacheField>
    <cacheField name="[item_category].[item_category].[item_category].[LEVEL_UNIQUE_NAME]" caption="LEVEL_UNIQUE_NAME" propertyName="LEVEL_UNIQUE_NAME" numFmtId="0" hierarchy="3" level="1" memberPropertyField="1">
      <sharedItems containsSemiMixedTypes="0" containsString="0"/>
    </cacheField>
    <cacheField name="[item_category].[item_category].[item_category].[LEVEL_NUMBER]" caption="LEVEL_NUMBER" propertyName="LEVEL_NUMBER" numFmtId="0" hierarchy="3" level="1" memberPropertyField="1">
      <sharedItems containsSemiMixedTypes="0" containsString="0"/>
    </cacheField>
    <cacheField name="[item_category].[item_category].[item_category].[PARENT_UNIQUE_NAME]" caption="PARENT_UNIQUE_NAME" propertyName="PARENT_UNIQUE_NAME" numFmtId="0" hierarchy="3" level="1" memberPropertyField="1">
      <sharedItems containsSemiMixedTypes="0" containsString="0"/>
    </cacheField>
    <cacheField name="[item_category].[item_category].[item_category].[HIERARCHY_UNIQUE_NAME]" caption="HIERARCHY_UNIQUE_NAME" propertyName="HIERARCHY_UNIQUE_NAME" numFmtId="0" hierarchy="3" level="1" memberPropertyField="1">
      <sharedItems containsSemiMixedTypes="0" containsString="0"/>
    </cacheField>
    <cacheField name="[item_category].[item_category].[item_category].[MEMBER_TYPE]" caption="MEMBER_TYPE" propertyName="MEMBER_TYPE" numFmtId="0" hierarchy="3" level="1" memberPropertyField="1">
      <sharedItems containsSemiMixedTypes="0" containsString="0"/>
    </cacheField>
    <cacheField name="[item_category].[item_category].[item_category].[MEMBER_ORDINAL]" caption="MEMBER_ORDINAL" propertyName="MEMBER_ORDINAL" numFmtId="0" hierarchy="3" level="1" memberPropertyField="1">
      <sharedItems containsSemiMixedTypes="0" containsString="0"/>
    </cacheField>
    <cacheField name="[item_category].[item_category].[item_category].[CHILDREN_CARDINALITY]" caption="CHILDREN_CARDINALITY" propertyName="CHILDREN_CARDINALITY" numFmtId="0" hierarchy="3" level="1" memberPropertyField="1">
      <sharedItems containsSemiMixedTypes="0" containsString="0"/>
    </cacheField>
    <cacheField name="[item_category].[item_category].[item_category].[DISPLAY_INFO]" caption="DISPLAY_INFO" propertyName="DISPLAY_INFO" numFmtId="0" hierarchy="3" level="1" memberPropertyField="1">
      <sharedItems containsSemiMixedTypes="0" containsString="0"/>
    </cacheField>
  </cacheFields>
  <cacheHierarchies count="25">
    <cacheHierarchy uniqueName="[customer_segment].[customer_segment]" caption="customer_segment" defaultMemberUniqueName="[customer_segment].[customer_segment].[All]" dimensionUniqueName="[customer_segment]" displayFolder="" count="0" unbalanced="0"/>
    <cacheHierarchy uniqueName="[date].[date]" caption="date" time="1" defaultMemberUniqueName="[date].[date].[All]" dimensionUniqueName="[date]" displayFolder="" count="0" unbalanced="0"/>
    <cacheHierarchy uniqueName="[item_brand].[item_brand]" caption="item_brand" defaultMemberUniqueName="[item_brand].[item_brand].[All]" dimensionUniqueName="[item_brand]" displayFolder="" count="0" unbalanced="0"/>
    <cacheHierarchy uniqueName="[item_category].[item_category]" caption="item_category" defaultMemberUniqueName="[item_category].[item_category].[All]" dimensionUniqueName="[item_category]" displayFolder="" count="2" unbalanced="0">
      <fieldsUsage count="2">
        <fieldUsage x="2"/>
        <fieldUsage x="3"/>
      </fieldsUsage>
    </cacheHierarchy>
    <cacheHierarchy uniqueName="[item_class].[item_class]" caption="item_class" defaultMemberUniqueName="[item_class].[item_class].[All]" dimensionUniqueName="[item_class]" displayFolder="" count="0" unbalanced="0"/>
    <cacheHierarchy uniqueName="[month].[month]" caption="month" time="1" defaultMemberUniqueName="[month].[month].[All]" dimensionUniqueName="[month]" displayFolder="" count="2" unbalanced="0"/>
    <cacheHierarchy uniqueName="[promotion_type].[promotion_type]" caption="promotion_type" defaultMemberUniqueName="[promotion_type].[promotion_type].[All]" dimensionUniqueName="[promotion_type]" displayFolder="" count="0" unbalanced="0"/>
    <cacheHierarchy uniqueName="[quarter].[quarter]" caption="quarter" time="1" defaultMemberUniqueName="[quarter].[quarter].[All]" dimensionUniqueName="[quarter]" displayFolder="" count="0" unbalanced="0"/>
    <cacheHierarchy uniqueName="[sales_channel].[sales_channel]" caption="sales_channel" defaultMemberUniqueName="[sales_channel].[sales_channel].[All]" dimensionUniqueName="[sales_channel]" displayFolder="" count="0" unbalanced="0"/>
    <cacheHierarchy uniqueName="[store_region].[store_region]" caption="store_region" defaultMemberUniqueName="[store_region].[store_region].[All]" dimensionUniqueName="[store_region]" displayFolder="" count="0" unbalanced="0"/>
    <cacheHierarchy uniqueName="[store_state].[store_state]" caption="store_state" defaultMemberUniqueName="[store_state].[store_state].[All]" dimensionUniqueName="[store_state]" displayFolder="" count="0" unbalanced="0"/>
    <cacheHierarchy uniqueName="[year].[year]" caption="year" time="1" defaultMemberUniqueName="[year].[year].[All]" dimensionUniqueName="[year]" displayFolder="" count="0" unbalanced="0"/>
    <cacheHierarchy uniqueName="[Measures].[average_ticket]" caption="average_ticket" measure="1" displayFolder="" measureGroup="default" count="0"/>
    <cacheHierarchy uniqueName="[Measures].[customer_count]" caption="customer_count" measure="1" displayFolder="" measureGroup="default" count="0"/>
    <cacheHierarchy uniqueName="[Measures].[discount_amount]" caption="discount_amount" measure="1" displayFolder="" measureGroup="default" count="0"/>
    <cacheHierarchy uniqueName="[Measures].[gross_margin]" caption="gross_margin" measure="1" displayFolder="" measureGroup="default" count="0"/>
    <cacheHierarchy uniqueName="[Measures].[gross_sales]" caption="gross_sales" measure="1" displayFolder="" measureGroup="default" count="0" oneField="1">
      <fieldsUsage count="1">
        <fieldUsage x="0"/>
      </fieldsUsage>
    </cacheHierarchy>
    <cacheHierarchy uniqueName="[Measures].[net_profit]" caption="net_profit" measure="1" displayFolder="" measureGroup="default" count="0"/>
    <cacheHierarchy uniqueName="[Measures].[net_sales]" caption="net_sales" measure="1" displayFolder="" measureGroup="default" count="0" oneField="1">
      <fieldsUsage count="1">
        <fieldUsage x="1"/>
      </fieldsUsage>
    </cacheHierarchy>
    <cacheHierarchy uniqueName="[Measures].[order_count]" caption="order_count" measure="1" displayFolder="" measureGroup="default" count="0"/>
    <cacheHierarchy uniqueName="[Measures].[quantity]" caption="quantity" measure="1" displayFolder="" measureGroup="default" count="0"/>
    <cacheHierarchy uniqueName="[Measures].[revenue_per_customer]" caption="revenue_per_customer" measure="1" displayFolder="" measureGroup="default" count="0"/>
    <cacheHierarchy uniqueName="[Measures].[_info_last_refreshed]" caption="Last Refreshed" measure="1" displayFolder="Info" measureGroup="default" count="0"/>
    <cacheHierarchy uniqueName="[Measures].[_info_source_system]" caption="Source System" measure="1" displayFolder="Info" measureGroup="default" count="0"/>
    <cacheHierarchy uniqueName="[Measures].[_info_owner]" caption="Owner" measure="1" displayFolder="Info" measureGroup="default" count="0"/>
  </cacheHierarchies>
  <kpis count="0"/>
  <dimensions count="13">
    <dimension name="customer_segment" uniqueName="[customer_segment]" caption="customer_segment"/>
    <dimension name="date" uniqueName="[date]" caption="date"/>
    <dimension name="item_brand" uniqueName="[item_brand]" caption="item_brand"/>
    <dimension name="item_category" uniqueName="[item_category]" caption="item_category"/>
    <dimension name="item_class" uniqueName="[item_class]" caption="item_class"/>
    <dimension name="month" uniqueName="[month]" caption="month"/>
    <dimension name="promotion_type" uniqueName="[promotion_type]" caption="promotion_type"/>
    <dimension name="quarter" uniqueName="[quarter]" caption="quarter"/>
    <dimension name="sales_channel" uniqueName="[sales_channel]" caption="sales_channel"/>
    <dimension name="store_region" uniqueName="[store_region]" caption="store_region"/>
    <dimension name="store_state" uniqueName="[store_state]" caption="store_state"/>
    <dimension name="year" uniqueName="[year]" caption="year"/>
    <dimension measure="1" name="Measures" uniqueName="[Measures]" caption="Measures"/>
  </dimensions>
  <measureGroups count="1">
    <measureGroup name="default" caption="default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1" refreshedBy="Mohammed Othman" refreshedDate="46201.168838773148" createdVersion="8" refreshedVersion="8" minRefreshableVersion="3" recordCount="0" supportSubquery="1" supportAdvancedDrill="1" xr:uid="{789B4FC2-FFA1-4061-8799-B8E631F93A61}">
  <cacheSource type="external" connectionId="1"/>
  <cacheFields count="30">
    <cacheField name="[Measures].[gross_sales]" caption="gross_sales" numFmtId="0" hierarchy="16" level="32767"/>
    <cacheField name="[Measures].[net_sales]" caption="net_sales" numFmtId="0" hierarchy="18" level="32767"/>
    <cacheField name="[item_class].[item_class].[(All)]" caption="(All)" numFmtId="0" hierarchy="4">
      <sharedItems count="1">
        <s v="[item_class].[item_class].[All]" c="All item_class"/>
      </sharedItems>
    </cacheField>
    <cacheField name="[item_class].[item_class].[item_class]" caption="item_class" numFmtId="0" hierarchy="4" level="1">
      <sharedItems count="100">
        <s v="[item_class].[item_class].[athletic]" c="athletic"/>
        <s v="[item_class].[item_class].[fiction]" c="fiction"/>
        <s v="[item_class].[item_class].[classical]" c="classical"/>
        <s v="[item_class].[item_class].[accessories]" c="accessories"/>
        <s v="[item_class].[item_class].[pants]" c="pants"/>
        <s v="[item_class].[item_class].[sailing]" c="sailing"/>
        <s v="[item_class].[item_class].[sports]" c="sports"/>
        <s v="[item_class].[item_class].[televisions]" c="televisions"/>
        <s v="[item_class].[item_class].[romance]" c="romance"/>
        <s v="[item_class].[item_class].[gold]" c="gold"/>
        <s v="[item_class].[item_class].[portable]" c="portable"/>
        <s v="[item_class].[item_class].[earings]" c="earings"/>
        <s v="[item_class].[item_class].[reference]" c="reference"/>
        <s v="[item_class].[item_class].[swimwear]" c="swimwear"/>
        <s v="[item_class].[item_class].[paint]" c="paint"/>
        <s v="[item_class].[item_class].[estate]" c="estate"/>
        <s v="[item_class].[item_class].[outdoor]" c="outdoor"/>
        <s v="[item_class].[item_class].[pop]" c="pop"/>
        <s v="[item_class].[item_class].[golf]" c="golf"/>
        <s v="[item_class].[item_class].[wireless]" c="wireless"/>
        <s v="[item_class].[item_class].[jewelry boxes]" c="jewelry boxes"/>
        <s v="[item_class].[item_class].[monitors]" c="monitors"/>
        <s v="[item_class].[item_class].[guns]" c="guns"/>
        <s v="[item_class].[item_class].[baseball]" c="baseball"/>
        <s v="[item_class].[item_class].[school-uniforms]" c="school-uniforms"/>
        <s v="[item_class].[item_class].[scanners]" c="scanners"/>
        <s v="[item_class].[item_class].[mattresses]" c="mattresses"/>
        <s v="[item_class].[item_class].[history]" c="history"/>
        <s v="[item_class].[item_class].[parenting]" c="parenting"/>
        <s v="[item_class].[item_class].[home repair]" c="home repair"/>
        <s v="[item_class].[item_class].[rugs]" c="rugs"/>
        <s v="[item_class].[item_class].[tennis]" c="tennis"/>
        <s v="[item_class].[item_class].[birdal]" c="birdal"/>
        <s v="[item_class].[item_class].[semi-precious]" c="semi-precious"/>
        <s v="[item_class].[item_class].[basketball]" c="basketball"/>
        <s v="[item_class].[item_class].[rings]" c="rings"/>
        <s v="[item_class].[item_class].[personal]" c="personal"/>
        <s v="[item_class].[item_class].[curtains/drapes]" c="curtains/drapes"/>
        <s v="[item_class].[item_class].[camping]" c="camping"/>
        <s v="[item_class].[item_class].[tables]" c="tables"/>
        <s v="[item_class].[item_class].[mystery]" c="mystery"/>
        <s v="[item_class].[item_class].[fitness]" c="fitness"/>
        <s v="[item_class].[item_class].[fishing]" c="fishing"/>
        <s v="[item_class].[item_class].[automotive]" c="automotive"/>
        <s v="[item_class].[item_class].[kids]" c="kids"/>
        <s v="[item_class].[item_class].[mens]" c="mens"/>
        <s v="[item_class].[item_class].[furniture]" c="furniture"/>
        <s v="[item_class].[item_class].[hockey]" c="hockey"/>
        <s v="[item_class].[item_class].[football]" c="football"/>
        <s v="[item_class].[item_class].[dresses]" c="dresses"/>
        <s v="[item_class].[item_class].[custom]" c="custom"/>
        <s v="[item_class].[item_class].[country]" c="country"/>
        <s v="[item_class].[item_class].[flatware]" c="flatware"/>
        <s v="[item_class].[item_class].[womens]" c="womens"/>
        <s v="[item_class].[item_class].[toddlers]" c="toddlers"/>
        <s v="[item_class].[item_class].[pools]" c="pools"/>
        <s v="[item_class].[item_class].[wallpaper]" c="wallpaper"/>
        <s v="[item_class].[item_class].[infants]" c="infants"/>
        <s v="[item_class].[item_class].[science]" c="science"/>
        <s v="[item_class].[item_class].[athletic shoes]" c="athletic shoes"/>
        <s v="[item_class].[item_class].[blinds/shades]" c="blinds/shades"/>
        <s v="[item_class].[item_class].[consignment]" c="consignment"/>
        <s v="[item_class].[item_class].[self-help]" c="self-help"/>
        <s v="[item_class].[item_class].[loose stones]" c="loose stones"/>
        <s v="[item_class].[item_class].[lighting]" c="lighting"/>
        <s v="[item_class].[item_class].[rock]" c="rock"/>
        <s v="[item_class].[item_class].[glassware]" c="glassware"/>
        <s v="[item_class].[item_class].[sports-apparel]" c="sports-apparel"/>
        <s v="[item_class].[item_class].[archery]" c="archery"/>
        <s v="[item_class].[item_class].[stereo]" c="stereo"/>
        <s v="[item_class].[item_class].[cameras]" c="cameras"/>
        <s v="[item_class].[item_class].[pendants]" c="pendants"/>
        <s v="[item_class].[item_class].[diamonds]" c="diamonds"/>
        <s v="[item_class].[item_class].[shirts]" c="shirts"/>
        <s v="[item_class].[item_class].[newborn]" c="newborn"/>
        <s v="[item_class].[item_class].[accent]" c="accent"/>
        <s v="[item_class].[item_class].[memory]" c="memory"/>
        <s v="[item_class].[item_class].[costume]" c="costume"/>
        <s v="[item_class].[item_class].[disk drives]" c="disk drives"/>
        <s v="[item_class].[item_class].[audio]" c="audio"/>
        <s v="[item_class].[item_class].[bracelets]" c="bracelets"/>
        <s v="[item_class].[item_class].[mens watch]" c="mens watch"/>
        <s v="[item_class].[item_class].[cooking]" c="cooking"/>
        <s v="[item_class].[item_class].[travel]" c="travel"/>
        <s v="[item_class].[item_class].[maternity]" c="maternity"/>
        <s v="[item_class].[item_class].[bedding]" c="bedding"/>
        <s v="[item_class].[item_class].[bathroom]" c="bathroom"/>
        <s v="[item_class].[item_class].[womens watch]" c="womens watch"/>
        <s v="[item_class].[item_class].[fragrances]" c="fragrances"/>
        <s v="[item_class].[item_class].[camcorders]" c="camcorders"/>
        <s v="[item_class].[item_class].[decor]" c="decor"/>
        <s v="[item_class].[item_class].[computers]" c="computers"/>
        <s v="[item_class].[item_class].[dvd/vcr players]" c="dvd/vcr players"/>
        <s v="[item_class].[item_class].[arts]" c="arts"/>
        <s v="[item_class].[item_class].[(blank)]" c="(blank)"/>
        <s v="[item_class].[item_class].[optics]" c="optics"/>
        <s v="[item_class].[item_class].[karoke]" c="karoke"/>
        <s v="[item_class].[item_class].[musical]" c="musical"/>
        <s v="[item_class].[item_class].[entertainments]" c="entertainments"/>
        <s v="[item_class].[item_class].[business]" c="business"/>
      </sharedItems>
    </cacheField>
    <cacheField name="[item_class].[item_class].[(All)].[MEMBER_KEY]" caption="MEMBER_KEY" propertyName="MEMBER_KEY" numFmtId="0" hierarchy="4" memberPropertyField="1">
      <sharedItems containsSemiMixedTypes="0" containsString="0"/>
    </cacheField>
    <cacheField name="[item_class].[item_class].[(All)].[MEMBER_VALUE]" caption="MEMBER_VALUE" propertyName="MEMBER_VALUE" numFmtId="0" hierarchy="4" memberPropertyField="1">
      <sharedItems containsSemiMixedTypes="0" containsString="0"/>
    </cacheField>
    <cacheField name="[item_class].[item_class].[(All)].[MEMBER_NAME]" caption="MEMBER_NAME" propertyName="MEMBER_NAME" numFmtId="0" hierarchy="4" memberPropertyField="1">
      <sharedItems containsSemiMixedTypes="0" containsString="0"/>
    </cacheField>
    <cacheField name="[item_class].[item_class].[(All)].[MEMBER_UNIQUE_NAME]" caption="MEMBER_UNIQUE_NAME" propertyName="MEMBER_UNIQUE_NAME" numFmtId="0" hierarchy="4" memberPropertyField="1">
      <sharedItems containsSemiMixedTypes="0" containsString="0"/>
    </cacheField>
    <cacheField name="[item_class].[item_class].[(All)].[MEMBER_CAPTION]" caption="MEMBER_CAPTION" propertyName="MEMBER_CAPTION" numFmtId="0" hierarchy="4" memberPropertyField="1">
      <sharedItems containsSemiMixedTypes="0" containsString="0"/>
    </cacheField>
    <cacheField name="[item_class].[item_class].[(All)].[LEVEL_UNIQUE_NAME]" caption="LEVEL_UNIQUE_NAME" propertyName="LEVEL_UNIQUE_NAME" numFmtId="0" hierarchy="4" memberPropertyField="1">
      <sharedItems containsSemiMixedTypes="0" containsString="0"/>
    </cacheField>
    <cacheField name="[item_class].[item_class].[(All)].[LEVEL_NUMBER]" caption="LEVEL_NUMBER" propertyName="LEVEL_NUMBER" numFmtId="0" hierarchy="4" memberPropertyField="1">
      <sharedItems containsSemiMixedTypes="0" containsString="0"/>
    </cacheField>
    <cacheField name="[item_class].[item_class].[(All)].[PARENT_UNIQUE_NAME]" caption="PARENT_UNIQUE_NAME" propertyName="PARENT_UNIQUE_NAME" numFmtId="0" hierarchy="4" memberPropertyField="1">
      <sharedItems containsSemiMixedTypes="0" containsString="0"/>
    </cacheField>
    <cacheField name="[item_class].[item_class].[(All)].[HIERARCHY_UNIQUE_NAME]" caption="HIERARCHY_UNIQUE_NAME" propertyName="HIERARCHY_UNIQUE_NAME" numFmtId="0" hierarchy="4" memberPropertyField="1">
      <sharedItems containsSemiMixedTypes="0" containsString="0"/>
    </cacheField>
    <cacheField name="[item_class].[item_class].[(All)].[MEMBER_TYPE]" caption="MEMBER_TYPE" propertyName="MEMBER_TYPE" numFmtId="0" hierarchy="4" memberPropertyField="1">
      <sharedItems containsSemiMixedTypes="0" containsString="0"/>
    </cacheField>
    <cacheField name="[item_class].[item_class].[(All)].[MEMBER_ORDINAL]" caption="MEMBER_ORDINAL" propertyName="MEMBER_ORDINAL" numFmtId="0" hierarchy="4" memberPropertyField="1">
      <sharedItems containsSemiMixedTypes="0" containsString="0"/>
    </cacheField>
    <cacheField name="[item_class].[item_class].[(All)].[CHILDREN_CARDINALITY]" caption="CHILDREN_CARDINALITY" propertyName="CHILDREN_CARDINALITY" numFmtId="0" hierarchy="4" memberPropertyField="1">
      <sharedItems containsSemiMixedTypes="0" containsString="0"/>
    </cacheField>
    <cacheField name="[item_class].[item_class].[(All)].[DISPLAY_INFO]" caption="DISPLAY_INFO" propertyName="DISPLAY_INFO" numFmtId="0" hierarchy="4" memberPropertyField="1">
      <sharedItems containsSemiMixedTypes="0" containsString="0"/>
    </cacheField>
    <cacheField name="[item_class].[item_class].[item_class].[MEMBER_KEY]" caption="MEMBER_KEY" propertyName="MEMBER_KEY" numFmtId="0" hierarchy="4" level="1" memberPropertyField="1">
      <sharedItems containsSemiMixedTypes="0" containsString="0"/>
    </cacheField>
    <cacheField name="[item_class].[item_class].[item_class].[MEMBER_VALUE]" caption="MEMBER_VALUE" propertyName="MEMBER_VALUE" numFmtId="0" hierarchy="4" level="1" memberPropertyField="1">
      <sharedItems containsSemiMixedTypes="0" containsString="0"/>
    </cacheField>
    <cacheField name="[item_class].[item_class].[item_class].[MEMBER_NAME]" caption="MEMBER_NAME" propertyName="MEMBER_NAME" numFmtId="0" hierarchy="4" level="1" memberPropertyField="1">
      <sharedItems containsSemiMixedTypes="0" containsString="0"/>
    </cacheField>
    <cacheField name="[item_class].[item_class].[item_class].[MEMBER_UNIQUE_NAME]" caption="MEMBER_UNIQUE_NAME" propertyName="MEMBER_UNIQUE_NAME" numFmtId="0" hierarchy="4" level="1" memberPropertyField="1">
      <sharedItems containsSemiMixedTypes="0" containsString="0"/>
    </cacheField>
    <cacheField name="[item_class].[item_class].[item_class].[MEMBER_CAPTION]" caption="MEMBER_CAPTION" propertyName="MEMBER_CAPTION" numFmtId="0" hierarchy="4" level="1" memberPropertyField="1">
      <sharedItems containsSemiMixedTypes="0" containsString="0"/>
    </cacheField>
    <cacheField name="[item_class].[item_class].[item_class].[LEVEL_UNIQUE_NAME]" caption="LEVEL_UNIQUE_NAME" propertyName="LEVEL_UNIQUE_NAME" numFmtId="0" hierarchy="4" level="1" memberPropertyField="1">
      <sharedItems containsSemiMixedTypes="0" containsString="0"/>
    </cacheField>
    <cacheField name="[item_class].[item_class].[item_class].[LEVEL_NUMBER]" caption="LEVEL_NUMBER" propertyName="LEVEL_NUMBER" numFmtId="0" hierarchy="4" level="1" memberPropertyField="1">
      <sharedItems containsSemiMixedTypes="0" containsString="0"/>
    </cacheField>
    <cacheField name="[item_class].[item_class].[item_class].[PARENT_UNIQUE_NAME]" caption="PARENT_UNIQUE_NAME" propertyName="PARENT_UNIQUE_NAME" numFmtId="0" hierarchy="4" level="1" memberPropertyField="1">
      <sharedItems containsSemiMixedTypes="0" containsString="0"/>
    </cacheField>
    <cacheField name="[item_class].[item_class].[item_class].[HIERARCHY_UNIQUE_NAME]" caption="HIERARCHY_UNIQUE_NAME" propertyName="HIERARCHY_UNIQUE_NAME" numFmtId="0" hierarchy="4" level="1" memberPropertyField="1">
      <sharedItems containsSemiMixedTypes="0" containsString="0"/>
    </cacheField>
    <cacheField name="[item_class].[item_class].[item_class].[MEMBER_TYPE]" caption="MEMBER_TYPE" propertyName="MEMBER_TYPE" numFmtId="0" hierarchy="4" level="1" memberPropertyField="1">
      <sharedItems containsSemiMixedTypes="0" containsString="0"/>
    </cacheField>
    <cacheField name="[item_class].[item_class].[item_class].[MEMBER_ORDINAL]" caption="MEMBER_ORDINAL" propertyName="MEMBER_ORDINAL" numFmtId="0" hierarchy="4" level="1" memberPropertyField="1">
      <sharedItems containsSemiMixedTypes="0" containsString="0"/>
    </cacheField>
    <cacheField name="[item_class].[item_class].[item_class].[CHILDREN_CARDINALITY]" caption="CHILDREN_CARDINALITY" propertyName="CHILDREN_CARDINALITY" numFmtId="0" hierarchy="4" level="1" memberPropertyField="1">
      <sharedItems containsSemiMixedTypes="0" containsString="0"/>
    </cacheField>
    <cacheField name="[item_class].[item_class].[item_class].[DISPLAY_INFO]" caption="DISPLAY_INFO" propertyName="DISPLAY_INFO" numFmtId="0" hierarchy="4" level="1" memberPropertyField="1">
      <sharedItems containsSemiMixedTypes="0" containsString="0"/>
    </cacheField>
  </cacheFields>
  <cacheHierarchies count="25">
    <cacheHierarchy uniqueName="[customer_segment].[customer_segment]" caption="customer_segment" defaultMemberUniqueName="[customer_segment].[customer_segment].[All]" dimensionUniqueName="[customer_segment]" displayFolder="" count="0" unbalanced="0"/>
    <cacheHierarchy uniqueName="[date].[date]" caption="date" time="1" defaultMemberUniqueName="[date].[date].[All]" dimensionUniqueName="[date]" displayFolder="" count="0" unbalanced="0"/>
    <cacheHierarchy uniqueName="[item_brand].[item_brand]" caption="item_brand" defaultMemberUniqueName="[item_brand].[item_brand].[All]" dimensionUniqueName="[item_brand]" displayFolder="" count="0" unbalanced="0"/>
    <cacheHierarchy uniqueName="[item_category].[item_category]" caption="item_category" defaultMemberUniqueName="[item_category].[item_category].[All]" dimensionUniqueName="[item_category]" displayFolder="" count="0" unbalanced="0"/>
    <cacheHierarchy uniqueName="[item_class].[item_class]" caption="item_class" defaultMemberUniqueName="[item_class].[item_class].[All]" dimensionUniqueName="[item_class]" displayFolder="" count="2" unbalanced="0">
      <fieldsUsage count="2">
        <fieldUsage x="2"/>
        <fieldUsage x="3"/>
      </fieldsUsage>
    </cacheHierarchy>
    <cacheHierarchy uniqueName="[month].[month]" caption="month" time="1" defaultMemberUniqueName="[month].[month].[All]" dimensionUniqueName="[month]" displayFolder="" count="2" unbalanced="0"/>
    <cacheHierarchy uniqueName="[promotion_type].[promotion_type]" caption="promotion_type" defaultMemberUniqueName="[promotion_type].[promotion_type].[All]" dimensionUniqueName="[promotion_type]" displayFolder="" count="0" unbalanced="0"/>
    <cacheHierarchy uniqueName="[quarter].[quarter]" caption="quarter" time="1" defaultMemberUniqueName="[quarter].[quarter].[All]" dimensionUniqueName="[quarter]" displayFolder="" count="0" unbalanced="0"/>
    <cacheHierarchy uniqueName="[sales_channel].[sales_channel]" caption="sales_channel" defaultMemberUniqueName="[sales_channel].[sales_channel].[All]" dimensionUniqueName="[sales_channel]" displayFolder="" count="0" unbalanced="0"/>
    <cacheHierarchy uniqueName="[store_region].[store_region]" caption="store_region" defaultMemberUniqueName="[store_region].[store_region].[All]" dimensionUniqueName="[store_region]" displayFolder="" count="0" unbalanced="0"/>
    <cacheHierarchy uniqueName="[store_state].[store_state]" caption="store_state" defaultMemberUniqueName="[store_state].[store_state].[All]" dimensionUniqueName="[store_state]" displayFolder="" count="0" unbalanced="0"/>
    <cacheHierarchy uniqueName="[year].[year]" caption="year" time="1" defaultMemberUniqueName="[year].[year].[All]" dimensionUniqueName="[year]" displayFolder="" count="0" unbalanced="0"/>
    <cacheHierarchy uniqueName="[Measures].[average_ticket]" caption="average_ticket" measure="1" displayFolder="" measureGroup="default" count="0"/>
    <cacheHierarchy uniqueName="[Measures].[customer_count]" caption="customer_count" measure="1" displayFolder="" measureGroup="default" count="0"/>
    <cacheHierarchy uniqueName="[Measures].[discount_amount]" caption="discount_amount" measure="1" displayFolder="" measureGroup="default" count="0"/>
    <cacheHierarchy uniqueName="[Measures].[gross_margin]" caption="gross_margin" measure="1" displayFolder="" measureGroup="default" count="0"/>
    <cacheHierarchy uniqueName="[Measures].[gross_sales]" caption="gross_sales" measure="1" displayFolder="" measureGroup="default" count="0" oneField="1">
      <fieldsUsage count="1">
        <fieldUsage x="0"/>
      </fieldsUsage>
    </cacheHierarchy>
    <cacheHierarchy uniqueName="[Measures].[net_profit]" caption="net_profit" measure="1" displayFolder="" measureGroup="default" count="0"/>
    <cacheHierarchy uniqueName="[Measures].[net_sales]" caption="net_sales" measure="1" displayFolder="" measureGroup="default" count="0" oneField="1">
      <fieldsUsage count="1">
        <fieldUsage x="1"/>
      </fieldsUsage>
    </cacheHierarchy>
    <cacheHierarchy uniqueName="[Measures].[order_count]" caption="order_count" measure="1" displayFolder="" measureGroup="default" count="0"/>
    <cacheHierarchy uniqueName="[Measures].[quantity]" caption="quantity" measure="1" displayFolder="" measureGroup="default" count="0"/>
    <cacheHierarchy uniqueName="[Measures].[revenue_per_customer]" caption="revenue_per_customer" measure="1" displayFolder="" measureGroup="default" count="0"/>
    <cacheHierarchy uniqueName="[Measures].[_info_last_refreshed]" caption="Last Refreshed" measure="1" displayFolder="Info" measureGroup="default" count="0"/>
    <cacheHierarchy uniqueName="[Measures].[_info_source_system]" caption="Source System" measure="1" displayFolder="Info" measureGroup="default" count="0"/>
    <cacheHierarchy uniqueName="[Measures].[_info_owner]" caption="Owner" measure="1" displayFolder="Info" measureGroup="default" count="0"/>
  </cacheHierarchies>
  <kpis count="0"/>
  <dimensions count="13">
    <dimension name="customer_segment" uniqueName="[customer_segment]" caption="customer_segment"/>
    <dimension name="date" uniqueName="[date]" caption="date"/>
    <dimension name="item_brand" uniqueName="[item_brand]" caption="item_brand"/>
    <dimension name="item_category" uniqueName="[item_category]" caption="item_category"/>
    <dimension name="item_class" uniqueName="[item_class]" caption="item_class"/>
    <dimension name="month" uniqueName="[month]" caption="month"/>
    <dimension name="promotion_type" uniqueName="[promotion_type]" caption="promotion_type"/>
    <dimension name="quarter" uniqueName="[quarter]" caption="quarter"/>
    <dimension name="sales_channel" uniqueName="[sales_channel]" caption="sales_channel"/>
    <dimension name="store_region" uniqueName="[store_region]" caption="store_region"/>
    <dimension name="store_state" uniqueName="[store_state]" caption="store_state"/>
    <dimension name="year" uniqueName="[year]" caption="year"/>
    <dimension measure="1" name="Measures" uniqueName="[Measures]" caption="Measures"/>
  </dimensions>
  <measureGroups count="1">
    <measureGroup name="default" caption="default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1" refreshedBy="Mohammed Othman" refreshedDate="46201.169899652778" createdVersion="8" refreshedVersion="8" minRefreshableVersion="3" recordCount="0" supportSubquery="1" supportAdvancedDrill="1" xr:uid="{E4667767-498D-47DB-A48A-1C37092C20E1}">
  <cacheSource type="external" connectionId="1"/>
  <cacheFields count="30">
    <cacheField name="[quarter].[quarter].[(All)]" caption="(All)" numFmtId="0" hierarchy="7">
      <sharedItems count="1">
        <s v="[quarter].[quarter].[All]" c="All quarter"/>
      </sharedItems>
    </cacheField>
    <cacheField name="[quarter].[quarter].[quarter]" caption="quarter" numFmtId="0" hierarchy="7" level="1">
      <sharedItems count="5">
        <s v="[quarter].[quarter].[2]" c="2"/>
        <s v="[quarter].[quarter].[4]" c="4"/>
        <s v="[quarter].[quarter].[1]" c="1"/>
        <s v="[quarter].[quarter].[(blank)]" c="(blank)"/>
        <s v="[quarter].[quarter].[3]" c="3"/>
      </sharedItems>
    </cacheField>
    <cacheField name="[quarter].[quarter].[(All)].[MEMBER_KEY]" caption="MEMBER_KEY" propertyName="MEMBER_KEY" numFmtId="0" hierarchy="7" memberPropertyField="1">
      <sharedItems containsSemiMixedTypes="0" containsString="0"/>
    </cacheField>
    <cacheField name="[quarter].[quarter].[(All)].[MEMBER_VALUE]" caption="MEMBER_VALUE" propertyName="MEMBER_VALUE" numFmtId="0" hierarchy="7" memberPropertyField="1">
      <sharedItems containsSemiMixedTypes="0" containsString="0"/>
    </cacheField>
    <cacheField name="[quarter].[quarter].[(All)].[MEMBER_NAME]" caption="MEMBER_NAME" propertyName="MEMBER_NAME" numFmtId="0" hierarchy="7" memberPropertyField="1">
      <sharedItems containsSemiMixedTypes="0" containsString="0"/>
    </cacheField>
    <cacheField name="[quarter].[quarter].[(All)].[MEMBER_UNIQUE_NAME]" caption="MEMBER_UNIQUE_NAME" propertyName="MEMBER_UNIQUE_NAME" numFmtId="0" hierarchy="7" memberPropertyField="1">
      <sharedItems containsSemiMixedTypes="0" containsString="0"/>
    </cacheField>
    <cacheField name="[quarter].[quarter].[(All)].[MEMBER_CAPTION]" caption="MEMBER_CAPTION" propertyName="MEMBER_CAPTION" numFmtId="0" hierarchy="7" memberPropertyField="1">
      <sharedItems containsSemiMixedTypes="0" containsString="0"/>
    </cacheField>
    <cacheField name="[quarter].[quarter].[(All)].[LEVEL_UNIQUE_NAME]" caption="LEVEL_UNIQUE_NAME" propertyName="LEVEL_UNIQUE_NAME" numFmtId="0" hierarchy="7" memberPropertyField="1">
      <sharedItems containsSemiMixedTypes="0" containsString="0"/>
    </cacheField>
    <cacheField name="[quarter].[quarter].[(All)].[LEVEL_NUMBER]" caption="LEVEL_NUMBER" propertyName="LEVEL_NUMBER" numFmtId="0" hierarchy="7" memberPropertyField="1">
      <sharedItems containsSemiMixedTypes="0" containsString="0"/>
    </cacheField>
    <cacheField name="[quarter].[quarter].[(All)].[PARENT_UNIQUE_NAME]" caption="PARENT_UNIQUE_NAME" propertyName="PARENT_UNIQUE_NAME" numFmtId="0" hierarchy="7" memberPropertyField="1">
      <sharedItems containsSemiMixedTypes="0" containsString="0"/>
    </cacheField>
    <cacheField name="[quarter].[quarter].[(All)].[HIERARCHY_UNIQUE_NAME]" caption="HIERARCHY_UNIQUE_NAME" propertyName="HIERARCHY_UNIQUE_NAME" numFmtId="0" hierarchy="7" memberPropertyField="1">
      <sharedItems containsSemiMixedTypes="0" containsString="0"/>
    </cacheField>
    <cacheField name="[quarter].[quarter].[(All)].[MEMBER_TYPE]" caption="MEMBER_TYPE" propertyName="MEMBER_TYPE" numFmtId="0" hierarchy="7" memberPropertyField="1">
      <sharedItems containsSemiMixedTypes="0" containsString="0"/>
    </cacheField>
    <cacheField name="[quarter].[quarter].[(All)].[MEMBER_ORDINAL]" caption="MEMBER_ORDINAL" propertyName="MEMBER_ORDINAL" numFmtId="0" hierarchy="7" memberPropertyField="1">
      <sharedItems containsSemiMixedTypes="0" containsString="0"/>
    </cacheField>
    <cacheField name="[quarter].[quarter].[(All)].[CHILDREN_CARDINALITY]" caption="CHILDREN_CARDINALITY" propertyName="CHILDREN_CARDINALITY" numFmtId="0" hierarchy="7" memberPropertyField="1">
      <sharedItems containsSemiMixedTypes="0" containsString="0"/>
    </cacheField>
    <cacheField name="[quarter].[quarter].[(All)].[DISPLAY_INFO]" caption="DISPLAY_INFO" propertyName="DISPLAY_INFO" numFmtId="0" hierarchy="7" memberPropertyField="1">
      <sharedItems containsSemiMixedTypes="0" containsString="0"/>
    </cacheField>
    <cacheField name="[quarter].[quarter].[quarter].[MEMBER_KEY]" caption="MEMBER_KEY" propertyName="MEMBER_KEY" numFmtId="0" hierarchy="7" level="1" memberPropertyField="1">
      <sharedItems containsSemiMixedTypes="0" containsString="0"/>
    </cacheField>
    <cacheField name="[quarter].[quarter].[quarter].[MEMBER_VALUE]" caption="MEMBER_VALUE" propertyName="MEMBER_VALUE" numFmtId="0" hierarchy="7" level="1" memberPropertyField="1">
      <sharedItems containsSemiMixedTypes="0" containsString="0"/>
    </cacheField>
    <cacheField name="[quarter].[quarter].[quarter].[MEMBER_NAME]" caption="MEMBER_NAME" propertyName="MEMBER_NAME" numFmtId="0" hierarchy="7" level="1" memberPropertyField="1">
      <sharedItems containsSemiMixedTypes="0" containsString="0"/>
    </cacheField>
    <cacheField name="[quarter].[quarter].[quarter].[MEMBER_UNIQUE_NAME]" caption="MEMBER_UNIQUE_NAME" propertyName="MEMBER_UNIQUE_NAME" numFmtId="0" hierarchy="7" level="1" memberPropertyField="1">
      <sharedItems containsSemiMixedTypes="0" containsString="0"/>
    </cacheField>
    <cacheField name="[quarter].[quarter].[quarter].[MEMBER_CAPTION]" caption="MEMBER_CAPTION" propertyName="MEMBER_CAPTION" numFmtId="0" hierarchy="7" level="1" memberPropertyField="1">
      <sharedItems containsSemiMixedTypes="0" containsString="0"/>
    </cacheField>
    <cacheField name="[quarter].[quarter].[quarter].[LEVEL_UNIQUE_NAME]" caption="LEVEL_UNIQUE_NAME" propertyName="LEVEL_UNIQUE_NAME" numFmtId="0" hierarchy="7" level="1" memberPropertyField="1">
      <sharedItems containsSemiMixedTypes="0" containsString="0"/>
    </cacheField>
    <cacheField name="[quarter].[quarter].[quarter].[LEVEL_NUMBER]" caption="LEVEL_NUMBER" propertyName="LEVEL_NUMBER" numFmtId="0" hierarchy="7" level="1" memberPropertyField="1">
      <sharedItems containsSemiMixedTypes="0" containsString="0"/>
    </cacheField>
    <cacheField name="[quarter].[quarter].[quarter].[PARENT_UNIQUE_NAME]" caption="PARENT_UNIQUE_NAME" propertyName="PARENT_UNIQUE_NAME" numFmtId="0" hierarchy="7" level="1" memberPropertyField="1">
      <sharedItems containsSemiMixedTypes="0" containsString="0"/>
    </cacheField>
    <cacheField name="[quarter].[quarter].[quarter].[HIERARCHY_UNIQUE_NAME]" caption="HIERARCHY_UNIQUE_NAME" propertyName="HIERARCHY_UNIQUE_NAME" numFmtId="0" hierarchy="7" level="1" memberPropertyField="1">
      <sharedItems containsSemiMixedTypes="0" containsString="0"/>
    </cacheField>
    <cacheField name="[quarter].[quarter].[quarter].[MEMBER_TYPE]" caption="MEMBER_TYPE" propertyName="MEMBER_TYPE" numFmtId="0" hierarchy="7" level="1" memberPropertyField="1">
      <sharedItems containsSemiMixedTypes="0" containsString="0"/>
    </cacheField>
    <cacheField name="[quarter].[quarter].[quarter].[MEMBER_ORDINAL]" caption="MEMBER_ORDINAL" propertyName="MEMBER_ORDINAL" numFmtId="0" hierarchy="7" level="1" memberPropertyField="1">
      <sharedItems containsSemiMixedTypes="0" containsString="0"/>
    </cacheField>
    <cacheField name="[quarter].[quarter].[quarter].[CHILDREN_CARDINALITY]" caption="CHILDREN_CARDINALITY" propertyName="CHILDREN_CARDINALITY" numFmtId="0" hierarchy="7" level="1" memberPropertyField="1">
      <sharedItems containsSemiMixedTypes="0" containsString="0"/>
    </cacheField>
    <cacheField name="[quarter].[quarter].[quarter].[DISPLAY_INFO]" caption="DISPLAY_INFO" propertyName="DISPLAY_INFO" numFmtId="0" hierarchy="7" level="1" memberPropertyField="1">
      <sharedItems containsSemiMixedTypes="0" containsString="0"/>
    </cacheField>
    <cacheField name="[Measures].[net_sales]" caption="net_sales" numFmtId="0" hierarchy="18" level="32767"/>
    <cacheField name="[Measures].[gross_sales]" caption="gross_sales" numFmtId="0" hierarchy="16" level="32767"/>
  </cacheFields>
  <cacheHierarchies count="25">
    <cacheHierarchy uniqueName="[customer_segment].[customer_segment]" caption="customer_segment" defaultMemberUniqueName="[customer_segment].[customer_segment].[All]" dimensionUniqueName="[customer_segment]" displayFolder="" count="0" unbalanced="0"/>
    <cacheHierarchy uniqueName="[date].[date]" caption="date" time="1" defaultMemberUniqueName="[date].[date].[All]" dimensionUniqueName="[date]" displayFolder="" count="0" unbalanced="0"/>
    <cacheHierarchy uniqueName="[item_brand].[item_brand]" caption="item_brand" defaultMemberUniqueName="[item_brand].[item_brand].[All]" dimensionUniqueName="[item_brand]" displayFolder="" count="0" unbalanced="0"/>
    <cacheHierarchy uniqueName="[item_category].[item_category]" caption="item_category" defaultMemberUniqueName="[item_category].[item_category].[All]" dimensionUniqueName="[item_category]" displayFolder="" count="0" unbalanced="0"/>
    <cacheHierarchy uniqueName="[item_class].[item_class]" caption="item_class" defaultMemberUniqueName="[item_class].[item_class].[All]" dimensionUniqueName="[item_class]" displayFolder="" count="0" unbalanced="0"/>
    <cacheHierarchy uniqueName="[month].[month]" caption="month" time="1" defaultMemberUniqueName="[month].[month].[All]" dimensionUniqueName="[month]" displayFolder="" count="2" unbalanced="0"/>
    <cacheHierarchy uniqueName="[promotion_type].[promotion_type]" caption="promotion_type" defaultMemberUniqueName="[promotion_type].[promotion_type].[All]" dimensionUniqueName="[promotion_type]" displayFolder="" count="0" unbalanced="0"/>
    <cacheHierarchy uniqueName="[quarter].[quarter]" caption="quarter" time="1" defaultMemberUniqueName="[quarter].[quarter].[All]" dimensionUniqueName="[quarter]" displayFolder="" count="2" unbalanced="0">
      <fieldsUsage count="2">
        <fieldUsage x="0"/>
        <fieldUsage x="1"/>
      </fieldsUsage>
    </cacheHierarchy>
    <cacheHierarchy uniqueName="[sales_channel].[sales_channel]" caption="sales_channel" defaultMemberUniqueName="[sales_channel].[sales_channel].[All]" dimensionUniqueName="[sales_channel]" displayFolder="" count="0" unbalanced="0"/>
    <cacheHierarchy uniqueName="[store_region].[store_region]" caption="store_region" defaultMemberUniqueName="[store_region].[store_region].[All]" dimensionUniqueName="[store_region]" displayFolder="" count="0" unbalanced="0"/>
    <cacheHierarchy uniqueName="[store_state].[store_state]" caption="store_state" defaultMemberUniqueName="[store_state].[store_state].[All]" dimensionUniqueName="[store_state]" displayFolder="" count="0" unbalanced="0"/>
    <cacheHierarchy uniqueName="[year].[year]" caption="year" time="1" defaultMemberUniqueName="[year].[year].[All]" dimensionUniqueName="[year]" displayFolder="" count="0" unbalanced="0"/>
    <cacheHierarchy uniqueName="[Measures].[average_ticket]" caption="average_ticket" measure="1" displayFolder="" measureGroup="default" count="0"/>
    <cacheHierarchy uniqueName="[Measures].[customer_count]" caption="customer_count" measure="1" displayFolder="" measureGroup="default" count="0"/>
    <cacheHierarchy uniqueName="[Measures].[discount_amount]" caption="discount_amount" measure="1" displayFolder="" measureGroup="default" count="0"/>
    <cacheHierarchy uniqueName="[Measures].[gross_margin]" caption="gross_margin" measure="1" displayFolder="" measureGroup="default" count="0"/>
    <cacheHierarchy uniqueName="[Measures].[gross_sales]" caption="gross_sales" measure="1" displayFolder="" measureGroup="default" count="0" oneField="1">
      <fieldsUsage count="1">
        <fieldUsage x="29"/>
      </fieldsUsage>
    </cacheHierarchy>
    <cacheHierarchy uniqueName="[Measures].[net_profit]" caption="net_profit" measure="1" displayFolder="" measureGroup="default" count="0"/>
    <cacheHierarchy uniqueName="[Measures].[net_sales]" caption="net_sales" measure="1" displayFolder="" measureGroup="default" count="0" oneField="1">
      <fieldsUsage count="1">
        <fieldUsage x="28"/>
      </fieldsUsage>
    </cacheHierarchy>
    <cacheHierarchy uniqueName="[Measures].[order_count]" caption="order_count" measure="1" displayFolder="" measureGroup="default" count="0"/>
    <cacheHierarchy uniqueName="[Measures].[quantity]" caption="quantity" measure="1" displayFolder="" measureGroup="default" count="0"/>
    <cacheHierarchy uniqueName="[Measures].[revenue_per_customer]" caption="revenue_per_customer" measure="1" displayFolder="" measureGroup="default" count="0"/>
    <cacheHierarchy uniqueName="[Measures].[_info_last_refreshed]" caption="Last Refreshed" measure="1" displayFolder="Info" measureGroup="default" count="0"/>
    <cacheHierarchy uniqueName="[Measures].[_info_source_system]" caption="Source System" measure="1" displayFolder="Info" measureGroup="default" count="0"/>
    <cacheHierarchy uniqueName="[Measures].[_info_owner]" caption="Owner" measure="1" displayFolder="Info" measureGroup="default" count="0"/>
  </cacheHierarchies>
  <kpis count="0"/>
  <dimensions count="13">
    <dimension name="customer_segment" uniqueName="[customer_segment]" caption="customer_segment"/>
    <dimension name="date" uniqueName="[date]" caption="date"/>
    <dimension name="item_brand" uniqueName="[item_brand]" caption="item_brand"/>
    <dimension name="item_category" uniqueName="[item_category]" caption="item_category"/>
    <dimension name="item_class" uniqueName="[item_class]" caption="item_class"/>
    <dimension name="month" uniqueName="[month]" caption="month"/>
    <dimension name="promotion_type" uniqueName="[promotion_type]" caption="promotion_type"/>
    <dimension name="quarter" uniqueName="[quarter]" caption="quarter"/>
    <dimension name="sales_channel" uniqueName="[sales_channel]" caption="sales_channel"/>
    <dimension name="store_region" uniqueName="[store_region]" caption="store_region"/>
    <dimension name="store_state" uniqueName="[store_state]" caption="store_state"/>
    <dimension name="year" uniqueName="[year]" caption="year"/>
    <dimension measure="1" name="Measures" uniqueName="[Measures]" caption="Measures"/>
  </dimensions>
  <measureGroups count="1">
    <measureGroup name="default" caption="default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29C960-34D8-4430-903E-5E3026078AF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B4:D17" firstHeaderRow="0" firstDataRow="1" firstDataCol="1"/>
  <pivotFields count="30">
    <pivotField axis="axisRow" allDrilled="1" subtotalTop="0" showAll="0" dataSourceSort="1" defaultSubtotal="0">
      <items count="1">
        <item c="1" x="0"/>
      </items>
    </pivotField>
    <pivotField axis="axisRow" subtotalTop="0" showAll="0" dataSourceSort="1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dataField="1" subtotalTop="0" showAll="0" defaultSubtotal="0"/>
  </pivotFields>
  <rowFields count="2">
    <field x="0"/>
    <field x="1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-2"/>
  </colFields>
  <colItems count="2">
    <i>
      <x/>
    </i>
    <i i="1">
      <x v="1"/>
    </i>
  </colItems>
  <dataFields count="2">
    <dataField fld="28" baseField="0" baseItem="0"/>
    <dataField fld="29" baseField="0" baseItem="0"/>
  </dataFields>
  <pivotHierarchies count="25">
    <pivotHierarchy/>
    <pivotHierarchy/>
    <pivotHierarchy/>
    <pivotHierarchy/>
    <pivotHierarchy/>
    <pivotHierarchy>
      <mps count="26">
        <mp field="2"/>
        <mp field="3"/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</mps>
    </pivotHierarchy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FF666F-0FCC-424E-9AD2-821057DC4DD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F4:H16" firstHeaderRow="0" firstDataRow="1" firstDataCol="1"/>
  <pivotFields count="30">
    <pivotField dataField="1" subtotalTop="0" showAll="0" defaultSubtotal="0"/>
    <pivotField dataField="1" subtotalTop="0" showAll="0" defaultSubtotal="0"/>
    <pivotField axis="axisRow" allDrilled="1" subtotalTop="0" showAll="0" dataSourceSort="1" defaultSubtotal="0">
      <items count="1">
        <item c="1" x="0"/>
      </items>
    </pivotField>
    <pivotField axis="axisRow" subtotalTop="0" showAll="0" dataSourceSort="1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</pivotFields>
  <rowFields count="2">
    <field x="2"/>
    <field x="3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2">
    <i>
      <x/>
    </i>
    <i i="1">
      <x v="1"/>
    </i>
  </colItems>
  <dataFields count="2">
    <dataField fld="0" baseField="0" baseItem="0"/>
    <dataField fld="1" baseField="0" baseItem="0"/>
  </dataFields>
  <pivotHierarchies count="25">
    <pivotHierarchy/>
    <pivotHierarchy/>
    <pivotHierarchy/>
    <pivotHierarchy>
      <mps count="26"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  <mp field="28"/>
        <mp field="29"/>
      </mps>
    </pivotHierarchy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942F2D-CA32-44CE-8E74-DAAE4FF71B81}" name="PivotTable2" cacheId="3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J4:L10" firstHeaderRow="0" firstDataRow="1" firstDataCol="1"/>
  <pivotFields count="30">
    <pivotField axis="axisRow" allDrilled="1" subtotalTop="0" showAll="0" dataSourceSort="1" defaultSubtotal="0">
      <items count="1">
        <item c="1" x="0"/>
      </items>
    </pivotField>
    <pivotField axis="axisRow" subtotalTop="0" showAll="0" dataSourceSort="1" defaultSubtotal="0">
      <items count="5">
        <item x="0"/>
        <item x="1"/>
        <item x="2"/>
        <item x="3"/>
        <item x="4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dataField="1" subtotalTop="0" showAll="0" defaultSubtotal="0"/>
    <pivotField dataField="1" subtotalTop="0" showAll="0" defaultSubtotal="0"/>
  </pivotFields>
  <rowFields count="2">
    <field x="0"/>
    <field x="1"/>
  </rowFields>
  <rowItems count="6">
    <i>
      <x/>
    </i>
    <i r="1">
      <x/>
    </i>
    <i r="1">
      <x v="1"/>
    </i>
    <i r="1">
      <x v="2"/>
    </i>
    <i r="1">
      <x v="3"/>
    </i>
    <i r="1">
      <x v="4"/>
    </i>
  </rowItems>
  <colFields count="1">
    <field x="-2"/>
  </colFields>
  <colItems count="2">
    <i>
      <x/>
    </i>
    <i i="1">
      <x v="1"/>
    </i>
  </colItems>
  <dataFields count="2">
    <dataField fld="28" baseField="0" baseItem="0"/>
    <dataField fld="29" baseField="0" baseItem="0"/>
  </dataFields>
  <pivotHierarchies count="25">
    <pivotHierarchy/>
    <pivotHierarchy/>
    <pivotHierarchy/>
    <pivotHierarchy/>
    <pivotHierarchy/>
    <pivotHierarchy/>
    <pivotHierarchy/>
    <pivotHierarchy>
      <mps count="26">
        <mp field="2"/>
        <mp field="3"/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</mps>
    </pivotHierarchy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7F6B11-9C11-43FD-8F84-AB133D7E3F37}" name="PivotTable3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fieldListSortAscending="1">
  <location ref="N4:P104" firstHeaderRow="0" firstDataRow="1" firstDataCol="1"/>
  <pivotFields count="30">
    <pivotField dataField="1" subtotalTop="0" showAll="0" defaultSubtotal="0"/>
    <pivotField dataField="1" subtotalTop="0" showAll="0" defaultSubtotal="0"/>
    <pivotField axis="axisRow" allDrilled="1" subtotalTop="0" showAll="0" dataSourceSort="1" defaultSubtotal="0">
      <items count="1">
        <item c="1" x="0"/>
      </items>
    </pivotField>
    <pivotField axis="axisRow" subtotalTop="0" showAll="0" dataSourceSort="1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  <pivotField subtotalTop="0" showAll="0" dataSourceSort="1" defaultSubtotal="0" showPropTip="1"/>
  </pivotFields>
  <rowFields count="2">
    <field x="2"/>
    <field x="3"/>
  </rowFields>
  <rowItems count="10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</rowItems>
  <colFields count="1">
    <field x="-2"/>
  </colFields>
  <colItems count="2">
    <i>
      <x/>
    </i>
    <i i="1">
      <x v="1"/>
    </i>
  </colItems>
  <dataFields count="2">
    <dataField fld="0" baseField="0" baseItem="0"/>
    <dataField fld="1" baseField="0" baseItem="0"/>
  </dataFields>
  <pivotHierarchies count="25">
    <pivotHierarchy/>
    <pivotHierarchy/>
    <pivotHierarchy/>
    <pivotHierarchy/>
    <pivotHierarchy>
      <mps count="26"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  <mp field="28"/>
        <mp field="29"/>
      </mps>
    </pivotHierarchy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AA865B-E1AB-4197-8276-2D73FC1567BB}" name="tbl_monthly_mock" displayName="tbl_monthly_mock" ref="A41:I53" totalsRowShown="0" headerRowDxfId="59" dataDxfId="58">
  <autoFilter ref="A41:I53" xr:uid="{26AA865B-E1AB-4197-8276-2D73FC1567BB}"/>
  <tableColumns count="9">
    <tableColumn id="1" xr3:uid="{2BB2BA82-607B-4804-847C-52351C26F5BB}" name="Month" dataDxfId="57"/>
    <tableColumn id="2" xr3:uid="{BBFEC6C6-BC68-46ED-A381-291779ED50A4}" name="Gross Sales (£m)" dataDxfId="56"/>
    <tableColumn id="3" xr3:uid="{2E95DF08-0261-4692-876E-8142B6FFE3E3}" name="Discount (£m)" dataDxfId="55"/>
    <tableColumn id="4" xr3:uid="{BE2A3553-3D25-4AFF-A866-9A0A3C150B34}" name="Net Sales (£m)" dataDxfId="54"/>
    <tableColumn id="5" xr3:uid="{68FCCE48-FC5C-4573-BA3E-1DE3CD6E0D08}" name="Net Profit (£m)" dataDxfId="53"/>
    <tableColumn id="6" xr3:uid="{36EDF0C2-D3B2-4662-98AC-E75E445486F2}" name="Gross Margin" dataDxfId="52">
      <calculatedColumnFormula>IFERROR(E42/D42,0)</calculatedColumnFormula>
    </tableColumn>
    <tableColumn id="7" xr3:uid="{2DEDBEE3-D6CA-4111-9DA5-2485E785D965}" name="Quantity (000s)" dataDxfId="51"/>
    <tableColumn id="8" xr3:uid="{E3B4E6D6-2B75-4C76-96EE-D9947CE907E9}" name="Orders (000s)" dataDxfId="50"/>
    <tableColumn id="9" xr3:uid="{91BB93C5-FFDC-4DCA-B955-AC2DDF8DEE21}" name="Customers (000s)" dataDxfId="4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7954C1-F9F7-4688-958B-1C6829056A48}" name="tbl_category_mock" displayName="tbl_category_mock" ref="K41:T47" totalsRowShown="0" headerRowDxfId="48" dataDxfId="47">
  <autoFilter ref="K41:T47" xr:uid="{487954C1-F9F7-4688-958B-1C6829056A48}"/>
  <tableColumns count="10">
    <tableColumn id="1" xr3:uid="{BCE8BCFB-FA4F-446D-B270-EA095D41EFB1}" name="Category" dataDxfId="46"/>
    <tableColumn id="2" xr3:uid="{AF038D6C-03F6-4353-AB9C-E014643D7946}" name="Gross Sales (£m)" dataDxfId="45"/>
    <tableColumn id="3" xr3:uid="{8B72AA9D-95E1-4E71-810D-D128722BAF9F}" name="Discount (£m)" dataDxfId="44"/>
    <tableColumn id="4" xr3:uid="{74C5587F-2A77-4028-8918-AAFFDB3E7DE1}" name="Net Sales (£m)" dataDxfId="43"/>
    <tableColumn id="5" xr3:uid="{D6874251-A5A7-4B20-8DA7-0CB22CEF6E3A}" name="Net Profit (£m)" dataDxfId="42"/>
    <tableColumn id="6" xr3:uid="{88B006C6-DAEC-4A7E-9D76-3715609B56FF}" name="Quantity (000s)" dataDxfId="41"/>
    <tableColumn id="7" xr3:uid="{3DC644E0-88E6-4C42-B9F3-086976A0252A}" name="Orders (000s)" dataDxfId="40"/>
    <tableColumn id="8" xr3:uid="{F4FE98F8-B327-44AB-8D38-A9553884E282}" name="Customers (000s)" dataDxfId="39"/>
    <tableColumn id="9" xr3:uid="{97B53F08-D2F3-4D31-9E3C-CC0233A3DE75}" name="Gross Margin" dataDxfId="38">
      <calculatedColumnFormula>IFERROR(O42/N42,0)</calculatedColumnFormula>
    </tableColumn>
    <tableColumn id="10" xr3:uid="{AD5334F3-D24E-4378-B33C-FB21E4C96DB0}" name="Avg Ticket (£)" dataDxfId="37">
      <calculatedColumnFormula>IFERROR(N42/Q42*1000,0)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8AF475-C66D-4C8A-B5B0-A43FD9F78A4B}" name="tbl_region_mock" displayName="tbl_region_mock" ref="A56:H60" totalsRowShown="0" headerRowDxfId="36" dataDxfId="35">
  <autoFilter ref="A56:H60" xr:uid="{088AF475-C66D-4C8A-B5B0-A43FD9F78A4B}"/>
  <tableColumns count="8">
    <tableColumn id="1" xr3:uid="{326029DB-EA69-40D7-BC99-6D08E01419FA}" name="Region" dataDxfId="34"/>
    <tableColumn id="2" xr3:uid="{4E6D469C-780D-48C1-8DF8-FC755063272E}" name="Gross Sales (£m)" dataDxfId="33"/>
    <tableColumn id="3" xr3:uid="{E71B67F9-7C1C-4808-B4CC-B0AA37F9A319}" name="Net Sales (£m)" dataDxfId="32"/>
    <tableColumn id="4" xr3:uid="{1D9D9339-0C82-4458-8910-7BE5EF4FAAEB}" name="Net Profit (£m)" dataDxfId="31"/>
    <tableColumn id="5" xr3:uid="{C6BD93B8-83AD-4C7A-B11D-C8AC99279D75}" name="Discount (£m)" dataDxfId="30"/>
    <tableColumn id="6" xr3:uid="{5AC210E4-24A5-465E-BA69-C815D8B17FCA}" name="Gross Margin" dataDxfId="29">
      <calculatedColumnFormula>IFERROR(D57/C57,0)</calculatedColumnFormula>
    </tableColumn>
    <tableColumn id="7" xr3:uid="{090D3675-BED3-48EB-9660-AE2A60FBAD11}" name="Orders (000s)" dataDxfId="28"/>
    <tableColumn id="8" xr3:uid="{CA953F46-F297-4112-8FF0-572DC2A3CB1B}" name="Customers (000s)" dataDxfId="27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5EB99D-AB2B-408A-B02A-7795A32487FC}" name="tbl_segment_mock" displayName="tbl_segment_mock" ref="K56:Q60" totalsRowShown="0" headerRowDxfId="26" dataDxfId="25">
  <autoFilter ref="K56:Q60" xr:uid="{575EB99D-AB2B-408A-B02A-7795A32487FC}"/>
  <tableColumns count="7">
    <tableColumn id="1" xr3:uid="{45837B68-1DB0-4E92-BD91-031FB27DAE0F}" name="Customer Segment" dataDxfId="24"/>
    <tableColumn id="2" xr3:uid="{32E6DDDC-636B-40DA-9D7A-473164BD77AD}" name="Net Sales (£m)" dataDxfId="23"/>
    <tableColumn id="3" xr3:uid="{A6D08C1B-98CE-4E83-A568-B0F04E2A7035}" name="Net Profit (£m)" dataDxfId="22"/>
    <tableColumn id="4" xr3:uid="{E149B7D4-7AA3-4645-928A-65DA6929D2D8}" name="Customers (000s)" dataDxfId="21"/>
    <tableColumn id="5" xr3:uid="{BC071127-7940-41EA-AC7B-7AF68CB06539}" name="Orders (000s)" dataDxfId="20"/>
    <tableColumn id="6" xr3:uid="{CDBD31A1-16C3-41DD-B98E-8A5C01B667D7}" name="Revenue / Customer (£)" dataDxfId="19">
      <calculatedColumnFormula>IFERROR(L57/N57*1000,0)</calculatedColumnFormula>
    </tableColumn>
    <tableColumn id="7" xr3:uid="{F56D6011-9532-41DB-9A4F-203080CDB338}" name="Avg Ticket (£)" dataDxfId="18">
      <calculatedColumnFormula>IFERROR(L57/O57*1000,0)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3C8386-7549-462C-9B58-DDA9A0DDE155}" name="tbl_promo_mock" displayName="tbl_promo_mock" ref="A64:H70" totalsRowShown="0" headerRowDxfId="17" dataDxfId="16">
  <autoFilter ref="A64:H70" xr:uid="{EE3C8386-7549-462C-9B58-DDA9A0DDE155}"/>
  <tableColumns count="8">
    <tableColumn id="1" xr3:uid="{F779CE18-ECB2-462F-B638-9003124FE7C5}" name="Promotion Type" dataDxfId="15"/>
    <tableColumn id="2" xr3:uid="{61BD5816-72F1-4F74-8644-5653E233EEF8}" name="Net Sales (£m)" dataDxfId="14"/>
    <tableColumn id="3" xr3:uid="{9A33CA4C-979A-4FFA-9B7F-829A29848D3D}" name="Promo Cost (£m)" dataDxfId="13"/>
    <tableColumn id="4" xr3:uid="{94F7C129-3B6D-47E1-9EAC-33B4C592A9AA}" name="Discount (£m)" dataDxfId="12"/>
    <tableColumn id="5" xr3:uid="{41A3A17E-0807-4FD1-92A0-3636A463323D}" name="Orders (000s)" dataDxfId="11"/>
    <tableColumn id="6" xr3:uid="{83649FD6-56B2-407F-BDF7-5C435A2BC718}" name="Target Orders (000s)" dataDxfId="10"/>
    <tableColumn id="7" xr3:uid="{8B5E4B4D-8DCA-411D-9167-E29EF7A667CE}" name="Net Profit (£m)" dataDxfId="9"/>
    <tableColumn id="8" xr3:uid="{FC1E23DE-8ECD-48B6-AD5E-BA33D5892ACC}" name="Profit / Promo Cost" dataDxfId="8">
      <calculatedColumnFormula>IF(C65=0,0,G65/C65)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E146ACC-75D7-4EAC-A165-886BB048445D}" name="tbl_model_map" displayName="tbl_model_map" ref="K64:P70" totalsRowShown="0" headerRowDxfId="7" dataDxfId="6">
  <autoFilter ref="K64:P70" xr:uid="{8E146ACC-75D7-4EAC-A165-886BB048445D}"/>
  <tableColumns count="6">
    <tableColumn id="1" xr3:uid="{7A8B457F-2150-4114-BAC7-4584E21263A2}" name="Table" dataDxfId="5"/>
    <tableColumn id="2" xr3:uid="{DC7BDAC3-6934-4F9B-A38A-C1B839BCF141}" name="Type" dataDxfId="4"/>
    <tableColumn id="3" xr3:uid="{14C6B701-07EC-4FAB-90B0-BD3BC78E62D8}" name="Primary Key" dataDxfId="3"/>
    <tableColumn id="4" xr3:uid="{9C9D5233-58C6-4955-9109-D4CB5E2FC51A}" name="Join Path" dataDxfId="2"/>
    <tableColumn id="5" xr3:uid="{DCF42674-F4A1-4FE7-8D08-A6692FBCB88F}" name="Dashboard Use" dataDxfId="1"/>
    <tableColumn id="6" xr3:uid="{3D95F40A-2883-4D14-99A1-6F8FA6248D50}" name="Note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13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9172BF8-90CB-431C-A29C-4144992804DB}">
  <we:reference id="wa200010215" version="2.0.0.0" store="en-US" storeType="OMEX"/>
  <we:alternateReferences>
    <we:reference id="WA200010215" version="2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8914-44A0-43A8-BE63-7D2B80198727}">
  <dimension ref="A1:Z116"/>
  <sheetViews>
    <sheetView showGridLines="0" zoomScale="90" zoomScaleNormal="90" workbookViewId="0">
      <selection activeCell="A4" sqref="A4"/>
    </sheetView>
  </sheetViews>
  <sheetFormatPr defaultRowHeight="14.6" x14ac:dyDescent="0.4"/>
  <cols>
    <col min="1" max="1" width="22.07421875" customWidth="1"/>
    <col min="2" max="2" width="16.23046875" customWidth="1"/>
    <col min="3" max="3" width="16.61328125" customWidth="1"/>
    <col min="4" max="5" width="15.07421875" customWidth="1"/>
    <col min="6" max="6" width="19.53515625" customWidth="1"/>
    <col min="7" max="7" width="15.4609375" customWidth="1"/>
    <col min="8" max="8" width="18.69140625" customWidth="1"/>
    <col min="9" max="9" width="16.921875" customWidth="1"/>
    <col min="10" max="10" width="14.69140625" customWidth="1"/>
    <col min="11" max="11" width="18.3828125" customWidth="1"/>
    <col min="12" max="12" width="16.23046875" customWidth="1"/>
    <col min="13" max="13" width="15.07421875" customWidth="1"/>
    <col min="14" max="14" width="16.921875" customWidth="1"/>
    <col min="15" max="15" width="15.23046875" customWidth="1"/>
    <col min="16" max="16" width="22.3828125" customWidth="1"/>
    <col min="17" max="17" width="14" customWidth="1"/>
    <col min="18" max="18" width="16.921875" customWidth="1"/>
    <col min="19" max="20" width="14" customWidth="1"/>
  </cols>
  <sheetData>
    <row r="1" spans="1:26" ht="28" customHeight="1" x14ac:dyDescent="0.4">
      <c r="A1" s="30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" t="s">
        <v>0</v>
      </c>
      <c r="N1" s="25" t="inlineStr">
        <is>
          <t xml:space="preserve">Live — Tessallite XMLA — tpcds_retail</t>
        </is>
      </c>
      <c r="O1" s="3"/>
      <c r="P1" s="3"/>
      <c r="Q1" s="4"/>
      <c r="R1" s="4"/>
      <c r="S1" s="4"/>
      <c r="T1" s="4"/>
      <c r="U1" s="1"/>
      <c r="V1" s="1"/>
      <c r="W1" s="1"/>
      <c r="X1" s="1"/>
      <c r="Y1" s="1"/>
      <c r="Z1" s="1"/>
    </row>
    <row r="2" spans="1:26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1"/>
      <c r="V2" s="1"/>
      <c r="W2" s="1"/>
      <c r="X2" s="1"/>
      <c r="Y2" s="1"/>
      <c r="Z2" s="1"/>
    </row>
    <row r="3" spans="1:26" ht="24" customHeight="1" x14ac:dyDescent="0.4">
      <c r="A3" s="29" t="s">
        <v>78</v>
      </c>
      <c r="B3" s="29"/>
      <c r="C3" s="6"/>
      <c r="D3" s="6"/>
      <c r="E3" s="29" t="inlineStr">
        <is>
          <t xml:space="preserve">GROSS SALES</t>
        </is>
      </c>
      <c r="F3" s="29"/>
      <c r="G3" s="6"/>
      <c r="H3" s="6"/>
      <c r="I3" s="29" t="inlineStr">
        <is>
          <t xml:space="preserve">UNITS SOLD</t>
        </is>
      </c>
      <c r="J3" s="29"/>
      <c r="K3" s="6"/>
      <c r="L3" s="6"/>
      <c r="M3" s="29" t="s">
        <v>84</v>
      </c>
      <c r="N3" s="29"/>
      <c r="O3" s="6"/>
      <c r="P3" s="6"/>
      <c r="Q3" s="4"/>
      <c r="R3" s="4"/>
      <c r="S3" s="4"/>
      <c r="T3" s="4"/>
      <c r="U3" s="1"/>
      <c r="V3" s="1"/>
      <c r="W3" s="1"/>
      <c r="X3" s="1"/>
      <c r="Y3" s="1"/>
      <c r="Z3" s="1"/>
    </row>
    <row r="4" spans="1:26" ht="24" customHeight="1" x14ac:dyDescent="0.4">
      <c r="A4" s="32">
        <f>CUBEVALUE("TessalliteTPCDS","[Measures].[net_sales]")/1000000</f>
        <v>4741.58995376</v>
      </c>
      <c r="B4" s="6"/>
      <c r="C4" s="6"/>
      <c r="D4" s="6"/>
      <c r="E4" s="32">
        <f>CUBEVALUE("TessalliteTPCDS","[Measures].[gross_sales]")/1000000</f>
        <v>10523.714887979999</v>
      </c>
      <c r="F4" s="6"/>
      <c r="G4" s="6"/>
      <c r="H4" s="6"/>
      <c r="I4" s="33">
        <f>CUBEVALUE("TessalliteTPCDS","[Measures].[quantity]")/1000000</f>
        <v>138.943711</v>
      </c>
      <c r="J4" s="6"/>
      <c r="K4" s="6"/>
      <c r="L4" s="6"/>
      <c r="M4" s="23">
        <f>CUBEVALUE("TessalliteTPCDS","[Measures].[average_ticket]")</f>
        <v>19756.624807333334</v>
      </c>
      <c r="N4" s="6"/>
      <c r="O4" s="6"/>
      <c r="P4" s="6"/>
      <c r="Q4" s="4"/>
      <c r="R4" s="4"/>
      <c r="S4" s="4"/>
      <c r="T4" s="4"/>
      <c r="U4" s="1"/>
      <c r="V4" s="1"/>
      <c r="W4" s="1"/>
      <c r="X4" s="1"/>
      <c r="Y4" s="1"/>
      <c r="Z4" s="1"/>
    </row>
    <row r="5" spans="1:26" ht="24" customHeight="1" x14ac:dyDescent="0.4">
      <c r="A5" s="18" t="s">
        <v>79</v>
      </c>
      <c r="B5" s="19"/>
      <c r="C5" s="19"/>
      <c r="D5" s="19"/>
      <c r="E5" s="18" t="s">
        <v>81</v>
      </c>
      <c r="F5" s="19"/>
      <c r="G5" s="19"/>
      <c r="H5" s="19"/>
      <c r="I5" s="18" t="s">
        <v>83</v>
      </c>
      <c r="J5" s="19"/>
      <c r="K5" s="19"/>
      <c r="L5" s="19"/>
      <c r="M5" s="18" t="s">
        <v>85</v>
      </c>
      <c r="N5" s="6"/>
      <c r="O5" s="6"/>
      <c r="P5" s="6"/>
      <c r="Q5" s="4"/>
      <c r="R5" s="4"/>
      <c r="S5" s="4"/>
      <c r="T5" s="4"/>
      <c r="U5" s="1"/>
      <c r="V5" s="1"/>
      <c r="W5" s="1"/>
      <c r="X5" s="1"/>
      <c r="Y5" s="1"/>
      <c r="Z5" s="1"/>
    </row>
    <row r="6" spans="1:26" ht="24" customHeight="1" x14ac:dyDescent="0.4">
      <c r="A6" s="29" t="s">
        <v>86</v>
      </c>
      <c r="B6" s="29"/>
      <c r="C6" s="24"/>
      <c r="D6" s="24"/>
      <c r="E6" s="29" t="s">
        <v>88</v>
      </c>
      <c r="F6" s="29"/>
      <c r="G6" s="24"/>
      <c r="H6" s="24"/>
      <c r="I6" s="29" t="s">
        <v>90</v>
      </c>
      <c r="J6" s="29"/>
      <c r="K6" s="24"/>
      <c r="L6" s="24"/>
      <c r="M6" s="29" t="s">
        <v>92</v>
      </c>
      <c r="N6" s="29"/>
      <c r="O6" s="6"/>
      <c r="P6" s="6"/>
      <c r="Q6" s="4"/>
      <c r="R6" s="4"/>
      <c r="S6" s="4"/>
      <c r="T6" s="4"/>
      <c r="U6" s="1"/>
      <c r="V6" s="1"/>
      <c r="W6" s="1"/>
      <c r="X6" s="1"/>
      <c r="Y6" s="1"/>
      <c r="Z6" s="1"/>
    </row>
    <row r="7" spans="1:26" ht="24" customHeight="1" x14ac:dyDescent="0.4">
      <c r="A7" s="21">
        <f>CUBEVALUE("TessalliteTPCDS","[Measures].[order_count]")/1000</f>
        <v>240.0</v>
      </c>
      <c r="B7" s="6"/>
      <c r="C7" s="6"/>
      <c r="D7" s="6"/>
      <c r="E7" s="21">
        <f>CUBEVALUE("TessalliteTPCDS","[Measures].[customer_count]")/1000</f>
        <v>90.858</v>
      </c>
      <c r="F7" s="6"/>
      <c r="G7" s="6"/>
      <c r="H7" s="6"/>
      <c r="I7" s="23">
        <f>CUBEVALUE("TessalliteTPCDS","[Measures].[revenue_per_customer]")</f>
        <v>52186.81848334764</v>
      </c>
      <c r="J7" s="6"/>
      <c r="K7" s="6"/>
      <c r="L7" s="6"/>
      <c r="M7" s="22">
        <f>CUBEVALUE("TessalliteTPCDS","[Measures].[discount_amount]")/CUBEVALUE("TessalliteTPCDS","[Measures].[gross_sales]")</f>
        <v>0.050006338919450985</v>
      </c>
      <c r="N7" s="6"/>
      <c r="O7" s="6"/>
      <c r="P7" s="6"/>
      <c r="Q7" s="4"/>
      <c r="R7" s="4"/>
      <c r="S7" s="4"/>
      <c r="T7" s="4"/>
      <c r="U7" s="1"/>
      <c r="V7" s="1"/>
      <c r="W7" s="1"/>
      <c r="X7" s="1"/>
      <c r="Y7" s="1"/>
      <c r="Z7" s="1"/>
    </row>
    <row r="8" spans="1:26" ht="24" customHeight="1" x14ac:dyDescent="0.4">
      <c r="A8" s="18" t="s">
        <v>87</v>
      </c>
      <c r="B8" s="19"/>
      <c r="C8" s="19"/>
      <c r="D8" s="19"/>
      <c r="E8" s="18" t="s">
        <v>89</v>
      </c>
      <c r="F8" s="19"/>
      <c r="G8" s="19"/>
      <c r="H8" s="19"/>
      <c r="I8" s="18" t="s">
        <v>91</v>
      </c>
      <c r="J8" s="19"/>
      <c r="K8" s="19"/>
      <c r="L8" s="19"/>
      <c r="M8" s="18" t="s">
        <v>93</v>
      </c>
      <c r="N8" s="6"/>
      <c r="O8" s="6"/>
      <c r="P8" s="6"/>
      <c r="Q8" s="4"/>
      <c r="R8" s="4"/>
      <c r="S8" s="4"/>
      <c r="T8" s="4"/>
      <c r="U8" s="1"/>
      <c r="V8" s="1"/>
      <c r="W8" s="1"/>
      <c r="X8" s="1"/>
      <c r="Y8" s="1"/>
      <c r="Z8" s="1"/>
    </row>
    <row r="9" spans="1:26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"/>
      <c r="R9" s="4"/>
      <c r="S9" s="4"/>
      <c r="T9" s="4"/>
      <c r="U9" s="1"/>
      <c r="V9" s="1"/>
      <c r="W9" s="1"/>
      <c r="X9" s="1"/>
      <c r="Y9" s="1"/>
      <c r="Z9" s="1"/>
    </row>
    <row r="10" spans="1:26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  <c r="R10" s="4"/>
      <c r="S10" s="4"/>
      <c r="T10" s="4"/>
      <c r="U10" s="1"/>
      <c r="V10" s="1"/>
      <c r="W10" s="1"/>
      <c r="X10" s="1"/>
      <c r="Y10" s="1"/>
      <c r="Z10" s="1"/>
    </row>
    <row r="11" spans="1:26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  <c r="T11" s="4"/>
      <c r="U11" s="1"/>
      <c r="V11" s="1"/>
      <c r="W11" s="1"/>
      <c r="X11" s="1"/>
      <c r="Y11" s="1"/>
      <c r="Z11" s="1"/>
    </row>
    <row r="12" spans="1:26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"/>
      <c r="R12" s="4"/>
      <c r="S12" s="4"/>
      <c r="T12" s="4"/>
      <c r="U12" s="1"/>
      <c r="V12" s="1"/>
      <c r="W12" s="1"/>
      <c r="X12" s="1"/>
      <c r="Y12" s="1"/>
      <c r="Z12" s="1"/>
    </row>
    <row r="13" spans="1:26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"/>
      <c r="R13" s="4"/>
      <c r="S13" s="4"/>
      <c r="T13" s="4"/>
      <c r="U13" s="1"/>
      <c r="V13" s="1"/>
      <c r="W13" s="1"/>
      <c r="X13" s="1"/>
      <c r="Y13" s="1"/>
      <c r="Z13" s="1"/>
    </row>
    <row r="14" spans="1:26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4"/>
      <c r="S14" s="4"/>
      <c r="T14" s="4"/>
      <c r="U14" s="1"/>
      <c r="V14" s="1"/>
      <c r="W14" s="1"/>
      <c r="X14" s="1"/>
      <c r="Y14" s="1"/>
      <c r="Z14" s="1"/>
    </row>
    <row r="15" spans="1:26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4"/>
      <c r="S15" s="4"/>
      <c r="T15" s="4"/>
      <c r="U15" s="1"/>
      <c r="V15" s="1"/>
      <c r="W15" s="1"/>
      <c r="X15" s="1"/>
      <c r="Y15" s="1"/>
      <c r="Z15" s="1"/>
    </row>
    <row r="16" spans="1:26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"/>
      <c r="R16" s="4"/>
      <c r="S16" s="4"/>
      <c r="T16" s="4"/>
      <c r="U16" s="1"/>
      <c r="V16" s="1"/>
      <c r="W16" s="1"/>
      <c r="X16" s="1"/>
      <c r="Y16" s="1"/>
      <c r="Z16" s="1"/>
    </row>
    <row r="17" spans="1:26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"/>
      <c r="R17" s="4"/>
      <c r="S17" s="4"/>
      <c r="T17" s="4"/>
      <c r="U17" s="1"/>
      <c r="V17" s="1"/>
      <c r="W17" s="1"/>
      <c r="X17" s="1"/>
      <c r="Y17" s="1"/>
      <c r="Z17" s="1"/>
    </row>
    <row r="18" spans="1:26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"/>
      <c r="R18" s="4"/>
      <c r="S18" s="4"/>
      <c r="T18" s="4"/>
      <c r="U18" s="1"/>
      <c r="V18" s="1"/>
      <c r="W18" s="1"/>
      <c r="X18" s="1"/>
      <c r="Y18" s="1"/>
      <c r="Z18" s="1"/>
    </row>
    <row r="19" spans="1:26" x14ac:dyDescent="0.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"/>
      <c r="R19" s="4"/>
      <c r="S19" s="4"/>
      <c r="T19" s="4"/>
      <c r="U19" s="1"/>
      <c r="V19" s="1"/>
      <c r="W19" s="1"/>
      <c r="X19" s="1"/>
      <c r="Y19" s="1"/>
      <c r="Z19" s="1"/>
    </row>
    <row r="20" spans="1:26" x14ac:dyDescent="0.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"/>
      <c r="R20" s="4"/>
      <c r="S20" s="4"/>
      <c r="T20" s="4"/>
      <c r="U20" s="1"/>
      <c r="V20" s="1"/>
      <c r="W20" s="1"/>
      <c r="X20" s="1"/>
      <c r="Y20" s="1"/>
      <c r="Z20" s="1"/>
    </row>
    <row r="21" spans="1:26" x14ac:dyDescent="0.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"/>
      <c r="R21" s="4"/>
      <c r="S21" s="4"/>
      <c r="T21" s="4"/>
      <c r="U21" s="1"/>
      <c r="V21" s="1"/>
      <c r="W21" s="1"/>
      <c r="X21" s="1"/>
      <c r="Y21" s="1"/>
      <c r="Z21" s="1"/>
    </row>
    <row r="22" spans="1:26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"/>
      <c r="R22" s="4"/>
      <c r="S22" s="4"/>
      <c r="T22" s="4"/>
      <c r="U22" s="1"/>
      <c r="V22" s="1"/>
      <c r="W22" s="1"/>
      <c r="X22" s="1"/>
      <c r="Y22" s="1"/>
      <c r="Z22" s="1"/>
    </row>
    <row r="23" spans="1:26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  <c r="R23" s="4"/>
      <c r="S23" s="4"/>
      <c r="T23" s="4"/>
      <c r="U23" s="1"/>
      <c r="V23" s="1"/>
      <c r="W23" s="1"/>
      <c r="X23" s="1"/>
      <c r="Y23" s="1"/>
      <c r="Z23" s="1"/>
    </row>
    <row r="24" spans="1:26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  <c r="R24" s="4"/>
      <c r="S24" s="4"/>
      <c r="T24" s="4"/>
      <c r="U24" s="1"/>
      <c r="V24" s="1"/>
      <c r="W24" s="1"/>
      <c r="X24" s="1"/>
      <c r="Y24" s="1"/>
      <c r="Z24" s="1"/>
    </row>
    <row r="25" spans="1:26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"/>
      <c r="R25" s="4"/>
      <c r="S25" s="4"/>
      <c r="T25" s="4"/>
      <c r="U25" s="1"/>
      <c r="V25" s="1"/>
      <c r="W25" s="1"/>
      <c r="X25" s="1"/>
      <c r="Y25" s="1"/>
      <c r="Z25" s="1"/>
    </row>
    <row r="26" spans="1:26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  <c r="R26" s="4"/>
      <c r="S26" s="4"/>
      <c r="T26" s="4"/>
      <c r="U26" s="1"/>
      <c r="V26" s="1"/>
      <c r="W26" s="1"/>
      <c r="X26" s="1"/>
      <c r="Y26" s="1"/>
      <c r="Z26" s="1"/>
    </row>
    <row r="27" spans="1:26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"/>
      <c r="R27" s="4"/>
      <c r="S27" s="4"/>
      <c r="T27" s="4"/>
      <c r="U27" s="1"/>
      <c r="V27" s="1"/>
      <c r="W27" s="1"/>
      <c r="X27" s="1"/>
      <c r="Y27" s="1"/>
      <c r="Z27" s="1"/>
    </row>
    <row r="28" spans="1:26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4"/>
      <c r="R28" s="4"/>
      <c r="S28" s="4"/>
      <c r="T28" s="4"/>
      <c r="U28" s="1"/>
      <c r="V28" s="1"/>
      <c r="W28" s="1"/>
      <c r="X28" s="1"/>
      <c r="Y28" s="1"/>
      <c r="Z28" s="1"/>
    </row>
    <row r="29" spans="1:2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"/>
      <c r="R29" s="4"/>
      <c r="S29" s="4"/>
      <c r="T29" s="4"/>
      <c r="U29" s="1"/>
      <c r="V29" s="1"/>
      <c r="W29" s="1"/>
      <c r="X29" s="1"/>
      <c r="Y29" s="1"/>
      <c r="Z29" s="1"/>
    </row>
    <row r="30" spans="1:26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  <c r="S30" s="4"/>
      <c r="T30" s="4"/>
      <c r="U30" s="1"/>
      <c r="V30" s="1"/>
      <c r="W30" s="1"/>
      <c r="X30" s="1"/>
      <c r="Y30" s="1"/>
      <c r="Z30" s="1"/>
    </row>
    <row r="31" spans="1:26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  <c r="S31" s="4"/>
      <c r="T31" s="4"/>
      <c r="U31" s="1"/>
      <c r="V31" s="1"/>
      <c r="W31" s="1"/>
      <c r="X31" s="1"/>
      <c r="Y31" s="1"/>
      <c r="Z31" s="1"/>
    </row>
    <row r="32" spans="1:26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4"/>
      <c r="R32" s="4"/>
      <c r="S32" s="4"/>
      <c r="T32" s="4"/>
      <c r="U32" s="1"/>
      <c r="V32" s="1"/>
      <c r="W32" s="1"/>
      <c r="X32" s="1"/>
      <c r="Y32" s="1"/>
      <c r="Z32" s="1"/>
    </row>
    <row r="33" spans="1:26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4"/>
      <c r="R33" s="4"/>
      <c r="S33" s="4"/>
      <c r="T33" s="4"/>
      <c r="U33" s="1"/>
      <c r="V33" s="1"/>
      <c r="W33" s="1"/>
      <c r="X33" s="1"/>
      <c r="Y33" s="1"/>
      <c r="Z33" s="1"/>
    </row>
    <row r="34" spans="1:26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  <c r="R34" s="4"/>
      <c r="S34" s="4"/>
      <c r="T34" s="4"/>
      <c r="U34" s="1"/>
      <c r="V34" s="1"/>
      <c r="W34" s="1"/>
      <c r="X34" s="1"/>
      <c r="Y34" s="1"/>
      <c r="Z34" s="1"/>
    </row>
    <row r="35" spans="1:26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4"/>
      <c r="R35" s="4"/>
      <c r="S35" s="4"/>
      <c r="T35" s="4"/>
      <c r="U35" s="1"/>
      <c r="V35" s="1"/>
      <c r="W35" s="1"/>
      <c r="X35" s="1"/>
      <c r="Y35" s="1"/>
      <c r="Z35" s="1"/>
    </row>
    <row r="36" spans="1:26" ht="28" customHeight="1" x14ac:dyDescent="0.4">
      <c r="A36" s="3" t="s">
        <v>94</v>
      </c>
      <c r="B36" s="3"/>
      <c r="C36" s="3"/>
      <c r="D36" s="3"/>
      <c r="E36" s="3"/>
      <c r="F36" s="3"/>
      <c r="G36" s="3"/>
      <c r="H36" s="3"/>
      <c r="I36" s="3" t="s">
        <v>95</v>
      </c>
      <c r="J36" s="3"/>
      <c r="K36" s="3"/>
      <c r="L36" s="3"/>
      <c r="M36" s="3"/>
      <c r="N36" s="3"/>
      <c r="O36" s="3"/>
      <c r="P36" s="3"/>
      <c r="Q36" s="4"/>
      <c r="R36" s="4"/>
      <c r="S36" s="4"/>
      <c r="T36" s="4"/>
      <c r="U36" s="1"/>
      <c r="V36" s="1"/>
      <c r="W36" s="1"/>
      <c r="X36" s="1"/>
      <c r="Y36" s="1"/>
      <c r="Z36" s="1"/>
    </row>
    <row r="37" spans="1:26" ht="28" customHeight="1" x14ac:dyDescent="0.4">
      <c r="A37" s="7" t="s">
        <v>96</v>
      </c>
      <c r="B37" s="7"/>
      <c r="C37" s="7"/>
      <c r="D37" s="7"/>
      <c r="E37" s="7"/>
      <c r="F37" s="7"/>
      <c r="G37" s="7"/>
      <c r="H37" s="7"/>
      <c r="I37" s="6" t="s">
        <v>97</v>
      </c>
      <c r="J37" s="8" t="str">
        <f>IF(ABS(SUM(D42:D53)-SUM(N42:N47))&lt;0.01,"PASS","FAIL")</f>
        <v>FAIL</v>
      </c>
      <c r="K37" s="6"/>
      <c r="L37" s="6"/>
      <c r="M37" s="6"/>
      <c r="N37" s="6"/>
      <c r="O37" s="6"/>
      <c r="P37" s="6"/>
      <c r="Q37" s="4"/>
      <c r="R37" s="4"/>
      <c r="S37" s="4"/>
      <c r="T37" s="4"/>
      <c r="U37" s="1"/>
      <c r="V37" s="1"/>
      <c r="W37" s="1"/>
      <c r="X37" s="1"/>
      <c r="Y37" s="1"/>
      <c r="Z37" s="1"/>
    </row>
    <row r="38" spans="1:26" ht="28" customHeight="1" x14ac:dyDescent="0.4">
      <c r="A38" s="7" t="s">
        <v>98</v>
      </c>
      <c r="B38" s="7"/>
      <c r="C38" s="7"/>
      <c r="D38" s="7"/>
      <c r="E38" s="7"/>
      <c r="F38" s="7"/>
      <c r="G38" s="7"/>
      <c r="H38" s="7"/>
      <c r="I38" s="6" t="s">
        <v>99</v>
      </c>
      <c r="J38" s="8" t="str">
        <f>IF(ABS(SUM(D42:D53)-SUM(B65:B70))&lt;0.01,"PASS","FAIL")</f>
        <v>FAIL</v>
      </c>
      <c r="K38" s="6"/>
      <c r="L38" s="6"/>
      <c r="M38" s="6"/>
      <c r="N38" s="6"/>
      <c r="O38" s="6"/>
      <c r="P38" s="6"/>
      <c r="Q38" s="4"/>
      <c r="R38" s="4"/>
      <c r="S38" s="4"/>
      <c r="T38" s="4"/>
      <c r="U38" s="1"/>
      <c r="V38" s="1"/>
      <c r="W38" s="1"/>
      <c r="X38" s="1"/>
      <c r="Y38" s="1"/>
      <c r="Z38" s="1"/>
    </row>
    <row r="39" spans="1:26" x14ac:dyDescent="0.4">
      <c r="A39" s="9" t="s">
        <v>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4"/>
      <c r="R39" s="4"/>
      <c r="S39" s="4"/>
      <c r="T39" s="4"/>
      <c r="U39" s="1"/>
      <c r="V39" s="1"/>
      <c r="W39" s="1"/>
      <c r="X39" s="1"/>
      <c r="Y39" s="1"/>
      <c r="Z39" s="1"/>
    </row>
    <row r="40" spans="1:26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"/>
      <c r="V40" s="1"/>
      <c r="W40" s="1"/>
      <c r="X40" s="1"/>
      <c r="Y40" s="1"/>
      <c r="Z40" s="1"/>
    </row>
    <row r="41" spans="1:26" x14ac:dyDescent="0.4">
      <c r="A41" s="9" t="s">
        <v>2</v>
      </c>
      <c r="B41" s="9" t="s">
        <v>3</v>
      </c>
      <c r="C41" s="9" t="s">
        <v>4</v>
      </c>
      <c r="D41" s="9" t="s">
        <v>5</v>
      </c>
      <c r="E41" s="9" t="s">
        <v>6</v>
      </c>
      <c r="F41" s="9" t="s">
        <v>7</v>
      </c>
      <c r="G41" s="9" t="s">
        <v>8</v>
      </c>
      <c r="H41" s="9" t="s">
        <v>9</v>
      </c>
      <c r="I41" s="9" t="s">
        <v>10</v>
      </c>
      <c r="J41" s="4"/>
      <c r="K41" s="9" t="s">
        <v>11</v>
      </c>
      <c r="L41" s="9" t="s">
        <v>3</v>
      </c>
      <c r="M41" s="9" t="s">
        <v>4</v>
      </c>
      <c r="N41" s="9" t="s">
        <v>5</v>
      </c>
      <c r="O41" s="9" t="s">
        <v>6</v>
      </c>
      <c r="P41" s="9" t="s">
        <v>8</v>
      </c>
      <c r="Q41" s="9" t="s">
        <v>9</v>
      </c>
      <c r="R41" s="9" t="s">
        <v>10</v>
      </c>
      <c r="S41" s="9" t="s">
        <v>7</v>
      </c>
      <c r="T41" s="9" t="s">
        <v>12</v>
      </c>
      <c r="U41" s="1"/>
      <c r="V41" s="1"/>
      <c r="W41" s="1"/>
      <c r="X41" s="1"/>
      <c r="Y41" s="1"/>
      <c r="Z41" s="1"/>
    </row>
    <row r="42" spans="1:26" x14ac:dyDescent="0.4">
      <c r="A42" s="17">
        <v>45839</v>
      </c>
      <c r="B42" s="10">
        <f>GETPIVOTDATA("[Measures].[gross_sales]",Data!$B$4,"[month].[month]","[month].[month].[1]")/1000000</f>
        <v>595.66958074</v>
      </c>
      <c r="C42" s="10">
        <v>3.1</v>
      </c>
      <c r="D42" s="10">
        <f>GETPIVOTDATA("[Measures].[net_sales]",Data!$B$4,"[month].[month]","[month].[month].[1]")/1000000</f>
        <v>268.26190071</v>
      </c>
      <c r="E42" s="10">
        <v>5.4</v>
      </c>
      <c r="F42" s="11">
        <f t="shared" ref="F42:F53" si="0">IFERROR(E42/D42,0)</f>
        <v>2.0129582269073604E-2</v>
      </c>
      <c r="G42" s="12">
        <v>1030</v>
      </c>
      <c r="H42" s="12">
        <v>312</v>
      </c>
      <c r="I42" s="12">
        <v>242</v>
      </c>
      <c r="J42" s="4"/>
      <c r="K42" s="13" t="inlineStr">
        <is>
          <t xml:space="preserve">Music</t>
        </is>
      </c>
      <c r="L42" s="10">
        <f>GETPIVOTDATA("[Measures].[gross_sales]",Data!$F$4,"[item_category].[item_category]","[item_category].[item_category].[Music]")/1000000</f>
        <v>1095.5044178199998</v>
      </c>
      <c r="M42" s="10">
        <v>8.9</v>
      </c>
      <c r="N42" s="10">
        <f>GETPIVOTDATA("[Measures].[net_sales]",Data!$F$4,"[item_category].[item_category]","[item_category].[item_category].[Music]")/1000000</f>
        <v>493.22240496</v>
      </c>
      <c r="O42" s="10">
        <v>18.7</v>
      </c>
      <c r="P42" s="12">
        <v>4300</v>
      </c>
      <c r="Q42" s="12">
        <v>1072</v>
      </c>
      <c r="R42" s="12">
        <v>756</v>
      </c>
      <c r="S42" s="11">
        <f t="shared" ref="S42:S47" si="1">IFERROR(O42/N42,0)</f>
        <v>0.14123867069486404</v>
      </c>
      <c r="T42" s="14">
        <f t="shared" ref="T42:T47" si="2">IFERROR(N42/Q42*1000,0)</f>
        <v>123.50746268656717</v>
      </c>
      <c r="U42" s="1"/>
      <c r="V42" s="1"/>
      <c r="W42" s="1"/>
      <c r="X42" s="1"/>
      <c r="Y42" s="1"/>
      <c r="Z42" s="1"/>
    </row>
    <row r="43" spans="1:26" x14ac:dyDescent="0.4">
      <c r="A43" s="17">
        <v>45870</v>
      </c>
      <c r="B43" s="10">
        <f>GETPIVOTDATA("[Measures].[gross_sales]",Data!$B$4,"[month].[month]","[month].[month].[2]")/1000000</f>
        <v>461.52280542</v>
      </c>
      <c r="C43" s="10">
        <v>3.4</v>
      </c>
      <c r="D43" s="10">
        <f>GETPIVOTDATA("[Measures].[net_sales]",Data!$B$4,"[month].[month]","[month].[month].[2]")/1000000</f>
        <v>208.35180419999998</v>
      </c>
      <c r="E43" s="10">
        <v>5.6</v>
      </c>
      <c r="F43" s="11">
        <f t="shared" si="0"/>
        <v>2.6877617026174042E-2</v>
      </c>
      <c r="G43" s="12">
        <v>1058</v>
      </c>
      <c r="H43" s="12">
        <v>319</v>
      </c>
      <c r="I43" s="12">
        <v>247</v>
      </c>
      <c r="J43" s="4"/>
      <c r="K43" s="13" t="inlineStr">
        <is>
          <t xml:space="preserve">Shoes</t>
        </is>
      </c>
      <c r="L43" s="10">
        <f>GETPIVOTDATA("[Measures].[gross_sales]",Data!$F$4,"[item_category].[item_category]","[item_category].[item_category].[Shoes]")/1000000</f>
        <v>1076.8924708299999</v>
      </c>
      <c r="M43" s="10">
        <v>12.6</v>
      </c>
      <c r="N43" s="10">
        <f>GETPIVOTDATA("[Measures].[net_sales]",Data!$F$4,"[item_category].[item_category]","[item_category].[item_category].[Shoes]")/1000000</f>
        <v>484.97085910000004</v>
      </c>
      <c r="O43" s="10">
        <v>13.5</v>
      </c>
      <c r="P43" s="12">
        <v>1800</v>
      </c>
      <c r="Q43" s="12">
        <v>701</v>
      </c>
      <c r="R43" s="12">
        <v>531</v>
      </c>
      <c r="S43" s="11">
        <f t="shared" si="1"/>
        <v>0.15570934256055363</v>
      </c>
      <c r="T43" s="14">
        <f t="shared" si="2"/>
        <v>123.68045649072754</v>
      </c>
      <c r="U43" s="1"/>
      <c r="V43" s="1"/>
      <c r="W43" s="1"/>
      <c r="X43" s="1"/>
      <c r="Y43" s="1"/>
      <c r="Z43" s="1"/>
    </row>
    <row r="44" spans="1:26" x14ac:dyDescent="0.4">
      <c r="A44" s="17">
        <v>45901</v>
      </c>
      <c r="B44" s="10">
        <f>GETPIVOTDATA("[Measures].[gross_sales]",Data!$B$4,"[month].[month]","[month].[month].[3]")/1000000</f>
        <v>489.38317745999996</v>
      </c>
      <c r="C44" s="10">
        <v>3.8</v>
      </c>
      <c r="D44" s="10">
        <f>GETPIVOTDATA("[Measures].[net_sales]",Data!$B$4,"[month].[month]","[month].[month].[3]")/1000000</f>
        <v>220.44191883000002</v>
      </c>
      <c r="E44" s="10">
        <v>5.9</v>
      </c>
      <c r="F44" s="11">
        <f t="shared" si="0"/>
        <v>2.6764419541049047E-2</v>
      </c>
      <c r="G44" s="12">
        <v>1090</v>
      </c>
      <c r="H44" s="12">
        <v>326</v>
      </c>
      <c r="I44" s="12">
        <v>251</v>
      </c>
      <c r="J44" s="4"/>
      <c r="K44" s="13" t="inlineStr">
        <is>
          <t xml:space="preserve">Electronics</t>
        </is>
      </c>
      <c r="L44" s="10">
        <f>GETPIVOTDATA("[Measures].[gross_sales]",Data!$F$4,"[item_category].[item_category]","[item_category].[item_category].[Electronics]")/1000000</f>
        <v>1053.81033308</v>
      </c>
      <c r="M44" s="10">
        <v>10.9</v>
      </c>
      <c r="N44" s="10">
        <f>GETPIVOTDATA("[Measures].[net_sales]",Data!$F$4,"[item_category].[item_category]","[item_category].[item_category].[Electronics]")/1000000</f>
        <v>473.76157277</v>
      </c>
      <c r="O44" s="10">
        <v>17.2</v>
      </c>
      <c r="P44" s="12">
        <v>980</v>
      </c>
      <c r="Q44" s="12">
        <v>945</v>
      </c>
      <c r="R44" s="12">
        <v>382</v>
      </c>
      <c r="S44" s="11">
        <f t="shared" si="1"/>
        <v>0.14726027397260275</v>
      </c>
      <c r="T44" s="14">
        <f t="shared" si="2"/>
        <v>123.59788359788359</v>
      </c>
      <c r="U44" s="1"/>
      <c r="V44" s="1"/>
      <c r="W44" s="1"/>
      <c r="X44" s="1"/>
      <c r="Y44" s="1"/>
      <c r="Z44" s="1"/>
    </row>
    <row r="45" spans="1:26" x14ac:dyDescent="0.4">
      <c r="A45" s="17">
        <v>45931</v>
      </c>
      <c r="B45" s="10">
        <f>GETPIVOTDATA("[Measures].[gross_sales]",Data!$B$4,"[month].[month]","[month].[month].[4]")/1000000</f>
        <v>480.99182952999996</v>
      </c>
      <c r="C45" s="10">
        <v>4.4000000000000004</v>
      </c>
      <c r="D45" s="10">
        <f>GETPIVOTDATA("[Measures].[net_sales]",Data!$B$4,"[month].[month]","[month].[month].[4]")/1000000</f>
        <v>216.59398877</v>
      </c>
      <c r="E45" s="10">
        <v>6.5</v>
      </c>
      <c r="F45" s="11">
        <f t="shared" si="0"/>
        <v>3.0010066470045553E-2</v>
      </c>
      <c r="G45" s="12">
        <v>1138</v>
      </c>
      <c r="H45" s="12">
        <v>341</v>
      </c>
      <c r="I45" s="12">
        <v>261</v>
      </c>
      <c r="J45" s="4"/>
      <c r="K45" s="13" t="inlineStr">
        <is>
          <t xml:space="preserve">Home</t>
        </is>
      </c>
      <c r="L45" s="10">
        <f>GETPIVOTDATA("[Measures].[gross_sales]",Data!$F$4,"[item_category].[item_category]","[item_category].[item_category].[Home]")/1000000</f>
        <v>1044.63293181</v>
      </c>
      <c r="M45" s="10">
        <v>7.8</v>
      </c>
      <c r="N45" s="10">
        <f>GETPIVOTDATA("[Measures].[net_sales]",Data!$F$4,"[item_category].[item_category]","[item_category].[item_category].[Home]")/1000000</f>
        <v>471.40500377</v>
      </c>
      <c r="O45" s="10">
        <v>11.6</v>
      </c>
      <c r="P45" s="12">
        <v>1420</v>
      </c>
      <c r="Q45" s="12">
        <v>611</v>
      </c>
      <c r="R45" s="12">
        <v>414</v>
      </c>
      <c r="S45" s="11">
        <f t="shared" si="1"/>
        <v>0.15364238410596026</v>
      </c>
      <c r="T45" s="14">
        <f t="shared" si="2"/>
        <v>123.56792144026187</v>
      </c>
      <c r="U45" s="1"/>
      <c r="V45" s="1"/>
      <c r="W45" s="1"/>
      <c r="X45" s="1"/>
      <c r="Y45" s="1"/>
      <c r="Z45" s="1"/>
    </row>
    <row r="46" spans="1:26" x14ac:dyDescent="0.4">
      <c r="A46" s="17">
        <v>45962</v>
      </c>
      <c r="B46" s="10">
        <f>GETPIVOTDATA("[Measures].[gross_sales]",Data!$B$4,"[month].[month]","[month].[month].[5]")/1000000</f>
        <v>502.49803781</v>
      </c>
      <c r="C46" s="10">
        <v>7.2</v>
      </c>
      <c r="D46" s="10">
        <f>GETPIVOTDATA("[Measures].[net_sales]",Data!$B$4,"[month].[month]","[month].[month].[5]")/1000000</f>
        <v>227.43173893</v>
      </c>
      <c r="E46" s="10">
        <v>7</v>
      </c>
      <c r="F46" s="11">
        <f t="shared" si="0"/>
        <v>3.0778465806632613E-2</v>
      </c>
      <c r="G46" s="12">
        <v>1320</v>
      </c>
      <c r="H46" s="12">
        <v>403</v>
      </c>
      <c r="I46" s="12">
        <v>302</v>
      </c>
      <c r="J46" s="4"/>
      <c r="K46" s="13" t="inlineStr">
        <is>
          <t xml:space="preserve">Sports</t>
        </is>
      </c>
      <c r="L46" s="10">
        <f>GETPIVOTDATA("[Measures].[gross_sales]",Data!$F$4,"[item_category].[item_category]","[item_category].[item_category].[Sports]")/1000000</f>
        <v>1045.14633379</v>
      </c>
      <c r="M46" s="10">
        <v>5.8</v>
      </c>
      <c r="N46" s="10">
        <f>GETPIVOTDATA("[Measures].[net_sales]",Data!$F$4,"[item_category].[item_category]","[item_category].[item_category].[Sports]")/1000000</f>
        <v>471.38732566000004</v>
      </c>
      <c r="O46" s="10">
        <v>9.4</v>
      </c>
      <c r="P46" s="12">
        <v>2100</v>
      </c>
      <c r="Q46" s="12">
        <v>492</v>
      </c>
      <c r="R46" s="12">
        <v>409</v>
      </c>
      <c r="S46" s="11">
        <f t="shared" si="1"/>
        <v>0.15460526315789475</v>
      </c>
      <c r="T46" s="14">
        <f t="shared" si="2"/>
        <v>123.57723577235771</v>
      </c>
      <c r="U46" s="1"/>
      <c r="V46" s="1"/>
      <c r="W46" s="1"/>
      <c r="X46" s="1"/>
      <c r="Y46" s="1"/>
      <c r="Z46" s="1"/>
    </row>
    <row r="47" spans="1:26" x14ac:dyDescent="0.4">
      <c r="A47" s="17">
        <v>45992</v>
      </c>
      <c r="B47" s="10">
        <f>GETPIVOTDATA("[Measures].[gross_sales]",Data!$B$4,"[month].[month]","[month].[month].[6]")/1000000</f>
        <v>490.38664859</v>
      </c>
      <c r="C47" s="10">
        <v>9.8000000000000007</v>
      </c>
      <c r="D47" s="10">
        <f>GETPIVOTDATA("[Measures].[net_sales]",Data!$B$4,"[month].[month]","[month].[month].[6]")/1000000</f>
        <v>221.29748599</v>
      </c>
      <c r="E47" s="10">
        <v>8.9</v>
      </c>
      <c r="F47" s="11">
        <f t="shared" si="0"/>
        <v>4.0217357012371002E-2</v>
      </c>
      <c r="G47" s="12">
        <v>1595</v>
      </c>
      <c r="H47" s="12">
        <v>486</v>
      </c>
      <c r="I47" s="12">
        <v>357</v>
      </c>
      <c r="J47" s="4"/>
      <c r="K47" s="13" t="inlineStr">
        <is>
          <t xml:space="preserve">Women</t>
        </is>
      </c>
      <c r="L47" s="10">
        <f>GETPIVOTDATA("[Measures].[gross_sales]",Data!$F$4,"[item_category].[item_category]","[item_category].[item_category].[Women]")/1000000</f>
        <v>1044.6236175</v>
      </c>
      <c r="M47" s="10">
        <v>6.4</v>
      </c>
      <c r="N47" s="10">
        <f>GETPIVOTDATA("[Measures].[net_sales]",Data!$F$4,"[item_category].[item_category]","[item_category].[item_category].[Women]")/1000000</f>
        <v>470.92282014999995</v>
      </c>
      <c r="O47" s="10">
        <v>5.2</v>
      </c>
      <c r="P47" s="12">
        <v>765</v>
      </c>
      <c r="Q47" s="12">
        <v>286</v>
      </c>
      <c r="R47" s="12">
        <v>226</v>
      </c>
      <c r="S47" s="11">
        <f t="shared" si="1"/>
        <v>0.14525139664804471</v>
      </c>
      <c r="T47" s="14">
        <f t="shared" si="2"/>
        <v>125.17482517482517</v>
      </c>
      <c r="U47" s="1"/>
      <c r="V47" s="1"/>
      <c r="W47" s="1"/>
      <c r="X47" s="1"/>
      <c r="Y47" s="1"/>
      <c r="Z47" s="1"/>
    </row>
    <row r="48" spans="1:26" x14ac:dyDescent="0.4">
      <c r="A48" s="17">
        <v>46023</v>
      </c>
      <c r="B48" s="10">
        <f>GETPIVOTDATA("[Measures].[gross_sales]",Data!$B$4,"[month].[month]","[month].[month].[7]")/1000000</f>
        <v>495.25625833</v>
      </c>
      <c r="C48" s="10">
        <v>2.8</v>
      </c>
      <c r="D48" s="10">
        <f>GETPIVOTDATA("[Measures].[net_sales]",Data!$B$4,"[month].[month]","[month].[month].[7]")/1000000</f>
        <v>223.21292663999998</v>
      </c>
      <c r="E48" s="10">
        <v>5.2</v>
      </c>
      <c r="F48" s="11">
        <f t="shared" si="0"/>
        <v>2.3296141842119259E-2</v>
      </c>
      <c r="G48" s="12">
        <v>980</v>
      </c>
      <c r="H48" s="12">
        <v>294</v>
      </c>
      <c r="I48" s="12">
        <v>232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1"/>
      <c r="V48" s="1"/>
      <c r="W48" s="1"/>
      <c r="X48" s="1"/>
      <c r="Y48" s="1"/>
      <c r="Z48" s="1"/>
    </row>
    <row r="49" spans="1:26" x14ac:dyDescent="0.4">
      <c r="A49" s="17">
        <v>46054</v>
      </c>
      <c r="B49" s="10">
        <f>GETPIVOTDATA("[Measures].[gross_sales]",Data!$B$4,"[month].[month]","[month].[month].[8]")/1000000</f>
        <v>1102.97541061</v>
      </c>
      <c r="C49" s="10">
        <v>2.5</v>
      </c>
      <c r="D49" s="10">
        <f>GETPIVOTDATA("[Measures].[net_sales]",Data!$B$4,"[month].[month]","[month].[month].[8]")/1000000</f>
        <v>497.32819161000003</v>
      </c>
      <c r="E49" s="10">
        <v>5</v>
      </c>
      <c r="F49" s="11">
        <f t="shared" si="0"/>
        <v>1.0053723244229339E-2</v>
      </c>
      <c r="G49" s="12">
        <v>945</v>
      </c>
      <c r="H49" s="12">
        <v>285</v>
      </c>
      <c r="I49" s="12">
        <v>226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1"/>
      <c r="V49" s="1"/>
      <c r="W49" s="1"/>
      <c r="X49" s="1"/>
      <c r="Y49" s="1"/>
      <c r="Z49" s="1"/>
    </row>
    <row r="50" spans="1:26" x14ac:dyDescent="0.4">
      <c r="A50" s="17">
        <v>46082</v>
      </c>
      <c r="B50" s="10">
        <f>GETPIVOTDATA("[Measures].[gross_sales]",Data!$B$4,"[month].[month]","[month].[month].[9]")/1000000</f>
        <v>1120.9913151199999</v>
      </c>
      <c r="C50" s="10">
        <v>3.5</v>
      </c>
      <c r="D50" s="10">
        <f>GETPIVOTDATA("[Measures].[net_sales]",Data!$B$4,"[month].[month]","[month].[month].[9]")/1000000</f>
        <v>504.60467519</v>
      </c>
      <c r="E50" s="10">
        <v>5.9</v>
      </c>
      <c r="F50" s="11">
        <f t="shared" si="0"/>
        <v>1.1692321316243174E-2</v>
      </c>
      <c r="G50" s="12">
        <v>1042</v>
      </c>
      <c r="H50" s="12">
        <v>314</v>
      </c>
      <c r="I50" s="12">
        <v>241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1"/>
      <c r="V50" s="1"/>
      <c r="W50" s="1"/>
      <c r="X50" s="1"/>
      <c r="Y50" s="1"/>
      <c r="Z50" s="1"/>
    </row>
    <row r="51" spans="1:26" x14ac:dyDescent="0.4">
      <c r="A51" s="17">
        <v>46113</v>
      </c>
      <c r="B51" s="10">
        <f>GETPIVOTDATA("[Measures].[gross_sales]",Data!$B$4,"[month].[month]","[month].[month].[10]")/1000000</f>
        <v>1152.11346194</v>
      </c>
      <c r="C51" s="10">
        <v>3.7</v>
      </c>
      <c r="D51" s="10">
        <f>GETPIVOTDATA("[Measures].[net_sales]",Data!$B$4,"[month].[month]","[month].[month].[10]")/1000000</f>
        <v>519.01210737</v>
      </c>
      <c r="E51" s="10">
        <v>6.3</v>
      </c>
      <c r="F51" s="11">
        <f t="shared" si="0"/>
        <v>1.2138445154823287E-2</v>
      </c>
      <c r="G51" s="12">
        <v>1084</v>
      </c>
      <c r="H51" s="12">
        <v>329</v>
      </c>
      <c r="I51" s="12">
        <v>253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1"/>
      <c r="V51" s="1"/>
      <c r="W51" s="1"/>
      <c r="X51" s="1"/>
      <c r="Y51" s="1"/>
      <c r="Z51" s="1"/>
    </row>
    <row r="52" spans="1:26" x14ac:dyDescent="0.4">
      <c r="A52" s="17">
        <v>46143</v>
      </c>
      <c r="B52" s="10">
        <f>GETPIVOTDATA("[Measures].[gross_sales]",Data!$B$4,"[month].[month]","[month].[month].[11]")/1000000</f>
        <v>1636.36280862</v>
      </c>
      <c r="C52" s="10">
        <v>4</v>
      </c>
      <c r="D52" s="10">
        <f>GETPIVOTDATA("[Measures].[net_sales]",Data!$B$4,"[month].[month]","[month].[month].[11]")/1000000</f>
        <v>737.46247786</v>
      </c>
      <c r="E52" s="10">
        <v>6.8</v>
      </c>
      <c r="F52" s="11">
        <f t="shared" si="0"/>
        <v>9.2208081145125232E-3</v>
      </c>
      <c r="G52" s="12">
        <v>1131</v>
      </c>
      <c r="H52" s="12">
        <v>342</v>
      </c>
      <c r="I52" s="12">
        <v>266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1"/>
      <c r="V52" s="1"/>
      <c r="W52" s="1"/>
      <c r="X52" s="1"/>
      <c r="Y52" s="1"/>
      <c r="Z52" s="1"/>
    </row>
    <row r="53" spans="1:26" x14ac:dyDescent="0.4">
      <c r="A53" s="17">
        <v>46174</v>
      </c>
      <c r="B53" s="10">
        <f>GETPIVOTDATA("[Measures].[gross_sales]",Data!$B$4,"[month].[month]","[month].[month].[12]")/1000000</f>
        <v>1745.41460371</v>
      </c>
      <c r="C53" s="10">
        <v>4.2</v>
      </c>
      <c r="D53" s="10">
        <f>GETPIVOTDATA("[Measures].[net_sales]",Data!$B$4,"[month].[month]","[month].[month].[12]")/1000000</f>
        <v>784.94696876</v>
      </c>
      <c r="E53" s="10">
        <v>7.1</v>
      </c>
      <c r="F53" s="11">
        <f t="shared" si="0"/>
        <v>9.0451970420575602E-3</v>
      </c>
      <c r="G53" s="12">
        <v>1165</v>
      </c>
      <c r="H53" s="12">
        <v>356</v>
      </c>
      <c r="I53" s="12">
        <v>276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"/>
      <c r="V53" s="1"/>
      <c r="W53" s="1"/>
      <c r="X53" s="1"/>
      <c r="Y53" s="1"/>
      <c r="Z53" s="1"/>
    </row>
    <row r="54" spans="1:26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"/>
      <c r="V54" s="1"/>
      <c r="W54" s="1"/>
      <c r="X54" s="1"/>
      <c r="Y54" s="1"/>
      <c r="Z54" s="1"/>
    </row>
    <row r="55" spans="1:26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1"/>
      <c r="V55" s="1"/>
      <c r="W55" s="1"/>
      <c r="X55" s="1"/>
      <c r="Y55" s="1"/>
      <c r="Z55" s="1"/>
    </row>
    <row r="56" spans="1:26" x14ac:dyDescent="0.4">
      <c r="A56" s="9" t="s">
        <v>19</v>
      </c>
      <c r="B56" s="9" t="s">
        <v>3</v>
      </c>
      <c r="C56" s="9" t="s">
        <v>5</v>
      </c>
      <c r="D56" s="9" t="s">
        <v>6</v>
      </c>
      <c r="E56" s="9" t="s">
        <v>4</v>
      </c>
      <c r="F56" s="9" t="s">
        <v>7</v>
      </c>
      <c r="G56" s="9" t="s">
        <v>9</v>
      </c>
      <c r="H56" s="9" t="s">
        <v>10</v>
      </c>
      <c r="I56" s="4"/>
      <c r="J56" s="4"/>
      <c r="K56" s="9" t="s">
        <v>24</v>
      </c>
      <c r="L56" s="9" t="s">
        <v>5</v>
      </c>
      <c r="M56" s="9" t="s">
        <v>6</v>
      </c>
      <c r="N56" s="9" t="s">
        <v>10</v>
      </c>
      <c r="O56" s="9" t="s">
        <v>9</v>
      </c>
      <c r="P56" s="9" t="s">
        <v>25</v>
      </c>
      <c r="Q56" s="9" t="s">
        <v>12</v>
      </c>
      <c r="R56" s="4"/>
      <c r="S56" s="4"/>
      <c r="T56" s="4"/>
      <c r="U56" s="1"/>
      <c r="V56" s="1"/>
      <c r="W56" s="1"/>
      <c r="X56" s="1"/>
      <c r="Y56" s="1"/>
      <c r="Z56" s="1"/>
    </row>
    <row r="57" spans="1:26" x14ac:dyDescent="0.4">
      <c r="A57" s="13" t="s">
        <v>20</v>
      </c>
      <c r="B57" s="10">
        <v>115</v>
      </c>
      <c r="C57" s="10">
        <v>104.7</v>
      </c>
      <c r="D57" s="10">
        <v>15.8</v>
      </c>
      <c r="E57" s="10">
        <v>10.3</v>
      </c>
      <c r="F57" s="11">
        <f>IFERROR(D57/C57,0)</f>
        <v>0.15090735434574976</v>
      </c>
      <c r="G57" s="12">
        <v>780</v>
      </c>
      <c r="H57" s="12">
        <v>563</v>
      </c>
      <c r="I57" s="4"/>
      <c r="J57" s="4"/>
      <c r="K57" s="13" t="inlineStr">
        <is>
          <t xml:space="preserve">Q1</t>
        </is>
      </c>
      <c r="L57" s="10">
        <f>GETPIVOTDATA("[Measures].[net_sales]",Data!$J$4,"[quarter].[quarter]","[quarter].[quarter].[1]")/1000000</f>
        <v>703.04287472</v>
      </c>
      <c r="M57" s="10">
        <v>8.6999999999999993</v>
      </c>
      <c r="N57" s="12">
        <v>518</v>
      </c>
      <c r="O57" s="12">
        <v>684</v>
      </c>
      <c r="P57" s="15">
        <f>IFERROR(L57/N57*1000,0)</f>
        <v>123.55212355212356</v>
      </c>
      <c r="Q57" s="15">
        <f>IFERROR(L57/O57*1000,0)</f>
        <v>93.567251461988292</v>
      </c>
      <c r="R57" s="4"/>
      <c r="S57" s="4"/>
      <c r="T57" s="4"/>
      <c r="U57" s="1"/>
      <c r="V57" s="1"/>
      <c r="W57" s="1"/>
      <c r="X57" s="1"/>
      <c r="Y57" s="1"/>
      <c r="Z57" s="1"/>
    </row>
    <row r="58" spans="1:26" x14ac:dyDescent="0.4">
      <c r="A58" s="13" t="s">
        <v>21</v>
      </c>
      <c r="B58" s="10">
        <v>153.9</v>
      </c>
      <c r="C58" s="10">
        <v>139.19999999999999</v>
      </c>
      <c r="D58" s="10">
        <v>19.399999999999999</v>
      </c>
      <c r="E58" s="10">
        <v>14.7</v>
      </c>
      <c r="F58" s="11">
        <f>IFERROR(D58/C58,0)</f>
        <v>0.13936781609195403</v>
      </c>
      <c r="G58" s="12">
        <v>1030</v>
      </c>
      <c r="H58" s="12">
        <v>681</v>
      </c>
      <c r="I58" s="4"/>
      <c r="J58" s="4"/>
      <c r="K58" s="13" t="inlineStr">
        <is>
          <t xml:space="preserve">Q2</t>
        </is>
      </c>
      <c r="L58" s="10">
        <f>GETPIVOTDATA("[Measures].[net_sales]",Data!$J$4,"[quarter].[quarter]","[quarter].[quarter].[2]")/1000000</f>
        <v>665.3178694400001</v>
      </c>
      <c r="M58" s="10">
        <v>17.600000000000001</v>
      </c>
      <c r="N58" s="12">
        <v>729</v>
      </c>
      <c r="O58" s="12">
        <v>1054</v>
      </c>
      <c r="P58" s="15">
        <f>IFERROR(L58/N58*1000,0)</f>
        <v>174.21124828532237</v>
      </c>
      <c r="Q58" s="15">
        <f>IFERROR(L58/O58*1000,0)</f>
        <v>120.4933586337761</v>
      </c>
      <c r="R58" s="4"/>
      <c r="S58" s="4"/>
      <c r="T58" s="4"/>
      <c r="U58" s="1"/>
      <c r="V58" s="1"/>
      <c r="W58" s="1"/>
      <c r="X58" s="1"/>
      <c r="Y58" s="1"/>
      <c r="Z58" s="1"/>
    </row>
    <row r="59" spans="1:26" x14ac:dyDescent="0.4">
      <c r="A59" s="13" t="s">
        <v>22</v>
      </c>
      <c r="B59" s="10">
        <v>101.9</v>
      </c>
      <c r="C59" s="10">
        <v>92.8</v>
      </c>
      <c r="D59" s="10">
        <v>13.6</v>
      </c>
      <c r="E59" s="10">
        <v>9.1</v>
      </c>
      <c r="F59" s="11">
        <f>IFERROR(D59/C59,0)</f>
        <v>0.14655172413793102</v>
      </c>
      <c r="G59" s="12">
        <v>760</v>
      </c>
      <c r="H59" s="12">
        <v>482</v>
      </c>
      <c r="I59" s="4"/>
      <c r="J59" s="4"/>
      <c r="K59" s="13" t="inlineStr">
        <is>
          <t xml:space="preserve">Q3</t>
        </is>
      </c>
      <c r="L59" s="10">
        <f>GETPIVOTDATA("[Measures].[net_sales]",Data!$J$4,"[quarter].[quarter]","[quarter].[quarter].[3]")/1000000</f>
        <v>1232.86572516</v>
      </c>
      <c r="M59" s="10">
        <v>26.8</v>
      </c>
      <c r="N59" s="12">
        <v>816</v>
      </c>
      <c r="O59" s="12">
        <v>1236</v>
      </c>
      <c r="P59" s="15">
        <f>IFERROR(L59/N59*1000,0)</f>
        <v>213.84803921568627</v>
      </c>
      <c r="Q59" s="15">
        <f>IFERROR(L59/O59*1000,0)</f>
        <v>141.18122977346277</v>
      </c>
      <c r="R59" s="4"/>
      <c r="S59" s="4"/>
      <c r="T59" s="4"/>
      <c r="U59" s="1"/>
      <c r="V59" s="1"/>
      <c r="W59" s="1"/>
      <c r="X59" s="1"/>
      <c r="Y59" s="1"/>
      <c r="Z59" s="1"/>
    </row>
    <row r="60" spans="1:26" x14ac:dyDescent="0.4">
      <c r="A60" s="13" t="s">
        <v>23</v>
      </c>
      <c r="B60" s="10">
        <v>189.6</v>
      </c>
      <c r="C60" s="10">
        <v>171.3</v>
      </c>
      <c r="D60" s="10">
        <v>26.8</v>
      </c>
      <c r="E60" s="10">
        <v>18.3</v>
      </c>
      <c r="F60" s="11">
        <f>IFERROR(D60/C60,0)</f>
        <v>0.15645067133683596</v>
      </c>
      <c r="G60" s="12">
        <v>1537</v>
      </c>
      <c r="H60" s="12">
        <v>842</v>
      </c>
      <c r="I60" s="4"/>
      <c r="J60" s="4"/>
      <c r="K60" s="13" t="inlineStr">
        <is>
          <t xml:space="preserve">Q4</t>
        </is>
      </c>
      <c r="L60" s="10">
        <f>GETPIVOTDATA("[Measures].[net_sales]",Data!$J$4,"[quarter].[quarter]","[quarter].[quarter].[4]")/1000000</f>
        <v>2027.71971554</v>
      </c>
      <c r="M60" s="10">
        <v>22.5</v>
      </c>
      <c r="N60" s="12">
        <v>655</v>
      </c>
      <c r="O60" s="12">
        <v>1133</v>
      </c>
      <c r="P60" s="15">
        <f>IFERROR(L60/N60*1000,0)</f>
        <v>217.55725190839695</v>
      </c>
      <c r="Q60" s="15">
        <f>IFERROR(L60/O60*1000,0)</f>
        <v>125.77228596646073</v>
      </c>
      <c r="R60" s="4"/>
      <c r="S60" s="4"/>
      <c r="T60" s="4"/>
      <c r="U60" s="1"/>
      <c r="V60" s="1"/>
      <c r="W60" s="1"/>
      <c r="X60" s="1"/>
      <c r="Y60" s="1"/>
      <c r="Z60" s="1"/>
    </row>
    <row r="61" spans="1:26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1"/>
      <c r="V61" s="1"/>
      <c r="W61" s="1"/>
      <c r="X61" s="1"/>
      <c r="Y61" s="1"/>
      <c r="Z61" s="1"/>
    </row>
    <row r="62" spans="1:26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1"/>
      <c r="V62" s="1"/>
      <c r="W62" s="1"/>
      <c r="X62" s="1"/>
      <c r="Y62" s="1"/>
      <c r="Z62" s="1"/>
    </row>
    <row r="63" spans="1:26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"/>
      <c r="V63" s="1"/>
      <c r="W63" s="1"/>
      <c r="X63" s="1"/>
      <c r="Y63" s="1"/>
      <c r="Z63" s="1"/>
    </row>
    <row r="64" spans="1:26" x14ac:dyDescent="0.4">
      <c r="A64" s="9" t="s">
        <v>30</v>
      </c>
      <c r="B64" s="9" t="s">
        <v>5</v>
      </c>
      <c r="C64" s="9" t="s">
        <v>31</v>
      </c>
      <c r="D64" s="9" t="s">
        <v>4</v>
      </c>
      <c r="E64" s="9" t="s">
        <v>9</v>
      </c>
      <c r="F64" s="9" t="s">
        <v>32</v>
      </c>
      <c r="G64" s="9" t="s">
        <v>6</v>
      </c>
      <c r="H64" s="9" t="s">
        <v>33</v>
      </c>
      <c r="I64" s="4"/>
      <c r="J64" s="4"/>
      <c r="K64" s="3" t="s">
        <v>40</v>
      </c>
      <c r="L64" s="3" t="s">
        <v>41</v>
      </c>
      <c r="M64" s="3" t="s">
        <v>42</v>
      </c>
      <c r="N64" s="3" t="s">
        <v>43</v>
      </c>
      <c r="O64" s="3" t="s">
        <v>44</v>
      </c>
      <c r="P64" s="3" t="s">
        <v>45</v>
      </c>
      <c r="Q64" s="4"/>
      <c r="R64" s="9" t="s">
        <v>30</v>
      </c>
      <c r="S64" s="9" t="inlineStr">
        <is>
          <t xml:space="preserve">Net Sales (£m)</t>
        </is>
      </c>
      <c r="T64" s="9" t="inlineStr">
        <is>
          <t xml:space="preserve">Gross Sales (£m)</t>
        </is>
      </c>
      <c r="U64" s="1"/>
      <c r="V64" s="1"/>
      <c r="W64" s="1"/>
      <c r="X64" s="1"/>
      <c r="Y64" s="1"/>
      <c r="Z64" s="1"/>
    </row>
    <row r="65" spans="1:26" ht="43.75" x14ac:dyDescent="0.4">
      <c r="A65" s="13" t="s">
        <v>34</v>
      </c>
      <c r="B65" s="10">
        <v>166.4</v>
      </c>
      <c r="C65" s="10">
        <v>0</v>
      </c>
      <c r="D65" s="10">
        <v>5.0999999999999996</v>
      </c>
      <c r="E65" s="12">
        <v>1102</v>
      </c>
      <c r="F65" s="12">
        <v>0</v>
      </c>
      <c r="G65" s="10">
        <v>27.2</v>
      </c>
      <c r="H65" s="16">
        <f t="shared" ref="H65:H70" si="3">IF(C65=0,0,G65/C65)</f>
        <v>0</v>
      </c>
      <c r="I65" s="4"/>
      <c r="J65" s="4"/>
      <c r="K65" s="6" t="s">
        <v>46</v>
      </c>
      <c r="L65" s="6" t="s">
        <v>47</v>
      </c>
      <c r="M65" s="6" t="s">
        <v>48</v>
      </c>
      <c r="N65" s="6" t="s">
        <v>49</v>
      </c>
      <c r="O65" s="6" t="s">
        <v>50</v>
      </c>
      <c r="P65" s="6" t="s">
        <v>51</v>
      </c>
      <c r="Q65" s="4"/>
      <c r="R65" s="13" t="inlineStr">
        <is>
          <t xml:space="preserve">kids</t>
        </is>
      </c>
      <c r="S65" s="10">
        <f>GETPIVOTDATA("[Measures].[net_sales]",Data!$N$4,"[item_class].[item_class]","[item_class].[item_class].[kids]")/1000000</f>
        <v>141.45294699000002</v>
      </c>
      <c r="T65" s="10">
        <f>GETPIVOTDATA("[Measures].[gross_sales]",Data!$N$4,"[item_class].[item_class]","[item_class].[item_class].[kids]")/1000000</f>
        <v>314.09969782999997</v>
      </c>
      <c r="U65" s="1"/>
      <c r="V65" s="1"/>
      <c r="W65" s="1"/>
      <c r="X65" s="1"/>
      <c r="Y65" s="1"/>
      <c r="Z65" s="1"/>
    </row>
    <row r="66" spans="1:26" ht="29.15" x14ac:dyDescent="0.4">
      <c r="A66" s="13" t="s">
        <v>35</v>
      </c>
      <c r="B66" s="10">
        <v>94.8</v>
      </c>
      <c r="C66" s="10">
        <v>1.6</v>
      </c>
      <c r="D66" s="10">
        <v>10.8</v>
      </c>
      <c r="E66" s="12">
        <v>766</v>
      </c>
      <c r="F66" s="12">
        <v>740</v>
      </c>
      <c r="G66" s="10">
        <v>14</v>
      </c>
      <c r="H66" s="16">
        <f t="shared" si="3"/>
        <v>8.75</v>
      </c>
      <c r="I66" s="4"/>
      <c r="J66" s="4"/>
      <c r="K66" s="6" t="s">
        <v>52</v>
      </c>
      <c r="L66" s="6" t="s">
        <v>53</v>
      </c>
      <c r="M66" s="6" t="s">
        <v>54</v>
      </c>
      <c r="N66" s="6" t="s">
        <v>55</v>
      </c>
      <c r="O66" s="6" t="s">
        <v>56</v>
      </c>
      <c r="P66" s="6" t="s">
        <v>57</v>
      </c>
      <c r="Q66" s="4"/>
      <c r="R66" s="13" t="inlineStr">
        <is>
          <t xml:space="preserve">classical</t>
        </is>
      </c>
      <c r="S66" s="10">
        <f>GETPIVOTDATA("[Measures].[net_sales]",Data!$N$4,"[item_class].[item_class]","[item_class].[item_class].[classical]")/1000000</f>
        <v>133.08659882</v>
      </c>
      <c r="T66" s="10">
        <f>GETPIVOTDATA("[Measures].[gross_sales]",Data!$N$4,"[item_class].[item_class]","[item_class].[item_class].[classical]")/1000000</f>
        <v>294.46010743</v>
      </c>
      <c r="U66" s="1"/>
      <c r="V66" s="1"/>
      <c r="W66" s="1"/>
      <c r="X66" s="1"/>
      <c r="Y66" s="1"/>
      <c r="Z66" s="1"/>
    </row>
    <row r="67" spans="1:26" ht="29.15" x14ac:dyDescent="0.4">
      <c r="A67" s="13" t="s">
        <v>36</v>
      </c>
      <c r="B67" s="10">
        <v>72.599999999999994</v>
      </c>
      <c r="C67" s="10">
        <v>2.4</v>
      </c>
      <c r="D67" s="10">
        <v>8.3000000000000007</v>
      </c>
      <c r="E67" s="12">
        <v>552</v>
      </c>
      <c r="F67" s="12">
        <v>520</v>
      </c>
      <c r="G67" s="10">
        <v>10.3</v>
      </c>
      <c r="H67" s="16">
        <f t="shared" si="3"/>
        <v>4.291666666666667</v>
      </c>
      <c r="I67" s="4"/>
      <c r="J67" s="4"/>
      <c r="K67" s="6" t="s">
        <v>58</v>
      </c>
      <c r="L67" s="6" t="s">
        <v>53</v>
      </c>
      <c r="M67" s="6" t="s">
        <v>59</v>
      </c>
      <c r="N67" s="6" t="s">
        <v>60</v>
      </c>
      <c r="O67" s="6" t="s">
        <v>61</v>
      </c>
      <c r="P67" s="6" t="s">
        <v>62</v>
      </c>
      <c r="Q67" s="4"/>
      <c r="R67" s="13" t="inlineStr">
        <is>
          <t xml:space="preserve">mens</t>
        </is>
      </c>
      <c r="S67" s="10">
        <f>GETPIVOTDATA("[Measures].[net_sales]",Data!$N$4,"[item_class].[item_class]","[item_class].[item_class].[mens]")/1000000</f>
        <v>128.55899662000002</v>
      </c>
      <c r="T67" s="10">
        <f>GETPIVOTDATA("[Measures].[gross_sales]",Data!$N$4,"[item_class].[item_class]","[item_class].[item_class].[mens]")/1000000</f>
        <v>286.63488821</v>
      </c>
      <c r="U67" s="1"/>
      <c r="V67" s="1"/>
      <c r="W67" s="1"/>
      <c r="X67" s="1"/>
      <c r="Y67" s="1"/>
      <c r="Z67" s="1"/>
    </row>
    <row r="68" spans="1:26" ht="29.15" x14ac:dyDescent="0.4">
      <c r="A68" s="13" t="s">
        <v>37</v>
      </c>
      <c r="B68" s="10">
        <v>88.5</v>
      </c>
      <c r="C68" s="10">
        <v>4.5</v>
      </c>
      <c r="D68" s="10">
        <v>12.1</v>
      </c>
      <c r="E68" s="12">
        <v>752</v>
      </c>
      <c r="F68" s="12">
        <v>690</v>
      </c>
      <c r="G68" s="10">
        <v>12.8</v>
      </c>
      <c r="H68" s="16">
        <f t="shared" si="3"/>
        <v>2.8444444444444446</v>
      </c>
      <c r="I68" s="4"/>
      <c r="J68" s="4"/>
      <c r="K68" s="6" t="s">
        <v>63</v>
      </c>
      <c r="L68" s="6" t="s">
        <v>53</v>
      </c>
      <c r="M68" s="6" t="s">
        <v>64</v>
      </c>
      <c r="N68" s="6" t="s">
        <v>65</v>
      </c>
      <c r="O68" s="6" t="s">
        <v>66</v>
      </c>
      <c r="P68" s="6" t="s">
        <v>67</v>
      </c>
      <c r="Q68" s="4"/>
      <c r="R68" s="13" t="inlineStr">
        <is>
          <t xml:space="preserve">pop</t>
        </is>
      </c>
      <c r="S68" s="10">
        <f>GETPIVOTDATA("[Measures].[net_sales]",Data!$N$4,"[item_class].[item_class]","[item_class].[item_class].[pop]")/1000000</f>
        <v>127.55351459</v>
      </c>
      <c r="T68" s="10">
        <f>GETPIVOTDATA("[Measures].[gross_sales]",Data!$N$4,"[item_class].[item_class]","[item_class].[item_class].[pop]")/1000000</f>
        <v>284.07383367</v>
      </c>
      <c r="U68" s="1"/>
      <c r="V68" s="1"/>
      <c r="W68" s="1"/>
      <c r="X68" s="1"/>
      <c r="Y68" s="1"/>
      <c r="Z68" s="1"/>
    </row>
    <row r="69" spans="1:26" ht="29.15" x14ac:dyDescent="0.4">
      <c r="A69" s="13" t="s">
        <v>38</v>
      </c>
      <c r="B69" s="10">
        <v>54.7</v>
      </c>
      <c r="C69" s="10">
        <v>5.0999999999999996</v>
      </c>
      <c r="D69" s="10">
        <v>9.9</v>
      </c>
      <c r="E69" s="12">
        <v>581</v>
      </c>
      <c r="F69" s="12">
        <v>560</v>
      </c>
      <c r="G69" s="10">
        <v>7.2</v>
      </c>
      <c r="H69" s="16">
        <f t="shared" si="3"/>
        <v>1.411764705882353</v>
      </c>
      <c r="I69" s="4"/>
      <c r="J69" s="4"/>
      <c r="K69" s="6" t="s">
        <v>68</v>
      </c>
      <c r="L69" s="6" t="s">
        <v>53</v>
      </c>
      <c r="M69" s="6" t="s">
        <v>69</v>
      </c>
      <c r="N69" s="6" t="s">
        <v>70</v>
      </c>
      <c r="O69" s="6" t="s">
        <v>71</v>
      </c>
      <c r="P69" s="6" t="s">
        <v>72</v>
      </c>
      <c r="Q69" s="4"/>
      <c r="R69" s="13" t="inlineStr">
        <is>
          <t xml:space="preserve">shirts</t>
        </is>
      </c>
      <c r="S69" s="10">
        <f>GETPIVOTDATA("[Measures].[net_sales]",Data!$N$4,"[item_class].[item_class]","[item_class].[item_class].[shirts]")/1000000</f>
        <v>127.4552082</v>
      </c>
      <c r="T69" s="10">
        <f>GETPIVOTDATA("[Measures].[gross_sales]",Data!$N$4,"[item_class].[item_class]","[item_class].[item_class].[shirts]")/1000000</f>
        <v>282.55408243</v>
      </c>
      <c r="U69" s="1"/>
      <c r="V69" s="1"/>
      <c r="W69" s="1"/>
      <c r="X69" s="1"/>
      <c r="Y69" s="1"/>
      <c r="Z69" s="1"/>
    </row>
    <row r="70" spans="1:26" ht="29.15" x14ac:dyDescent="0.4">
      <c r="A70" s="13" t="s">
        <v>39</v>
      </c>
      <c r="B70" s="10">
        <v>31</v>
      </c>
      <c r="C70" s="10">
        <v>1.2</v>
      </c>
      <c r="D70" s="10">
        <v>6.2</v>
      </c>
      <c r="E70" s="12">
        <v>354</v>
      </c>
      <c r="F70" s="12">
        <v>330</v>
      </c>
      <c r="G70" s="10">
        <v>4.0999999999999996</v>
      </c>
      <c r="H70" s="16">
        <f t="shared" si="3"/>
        <v>3.4166666666666665</v>
      </c>
      <c r="I70" s="4"/>
      <c r="J70" s="4"/>
      <c r="K70" s="6" t="s">
        <v>73</v>
      </c>
      <c r="L70" s="6" t="s">
        <v>53</v>
      </c>
      <c r="M70" s="6" t="s">
        <v>74</v>
      </c>
      <c r="N70" s="6" t="s">
        <v>75</v>
      </c>
      <c r="O70" s="6" t="s">
        <v>76</v>
      </c>
      <c r="P70" s="6" t="s">
        <v>77</v>
      </c>
      <c r="Q70" s="4"/>
      <c r="R70" s="13" t="inlineStr">
        <is>
          <t xml:space="preserve">fragrances</t>
        </is>
      </c>
      <c r="S70" s="10">
        <f>GETPIVOTDATA("[Measures].[net_sales]",Data!$N$4,"[item_class].[item_class]","[item_class].[item_class].[fragrances]")/1000000</f>
        <v>122.55392246</v>
      </c>
      <c r="T70" s="10">
        <f>GETPIVOTDATA("[Measures].[gross_sales]",Data!$N$4,"[item_class].[item_class]","[item_class].[item_class].[fragrances]")/1000000</f>
        <v>271.66104264999996</v>
      </c>
      <c r="U70" s="1"/>
      <c r="V70" s="1"/>
      <c r="W70" s="1"/>
      <c r="X70" s="1"/>
      <c r="Y70" s="1"/>
      <c r="Z70" s="1"/>
    </row>
    <row r="71" spans="1:26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1"/>
      <c r="V71" s="1"/>
      <c r="W71" s="1"/>
      <c r="X71" s="1"/>
      <c r="Y71" s="1"/>
      <c r="Z71" s="1"/>
    </row>
    <row r="72" spans="1:26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1"/>
      <c r="V72" s="1"/>
      <c r="W72" s="1"/>
      <c r="X72" s="1"/>
      <c r="Y72" s="1"/>
      <c r="Z72" s="1"/>
    </row>
    <row r="73" spans="1:26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1"/>
      <c r="V73" s="1"/>
      <c r="W73" s="1"/>
      <c r="X73" s="1"/>
      <c r="Y73" s="1"/>
      <c r="Z73" s="1"/>
    </row>
    <row r="74" spans="1:26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1"/>
      <c r="V74" s="1"/>
      <c r="W74" s="1"/>
      <c r="X74" s="1"/>
      <c r="Y74" s="1"/>
      <c r="Z74" s="1"/>
    </row>
    <row r="75" spans="1:26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1"/>
      <c r="V75" s="1"/>
      <c r="W75" s="1"/>
      <c r="X75" s="1"/>
      <c r="Y75" s="1"/>
      <c r="Z75" s="1"/>
    </row>
    <row r="76" spans="1:26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"/>
      <c r="V76" s="1"/>
      <c r="W76" s="1"/>
      <c r="X76" s="1"/>
      <c r="Y76" s="1"/>
      <c r="Z76" s="1"/>
    </row>
    <row r="77" spans="1:26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  <c r="Y77" s="1"/>
      <c r="Z77" s="1"/>
    </row>
    <row r="78" spans="1:26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  <c r="Y78" s="1"/>
      <c r="Z78" s="1"/>
    </row>
    <row r="79" spans="1:26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  <c r="Y79" s="1"/>
      <c r="Z79" s="1"/>
    </row>
    <row r="80" spans="1:26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  <c r="Y80" s="1"/>
      <c r="Z80" s="1"/>
    </row>
    <row r="81" spans="1:26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  <c r="Y81" s="1"/>
      <c r="Z81" s="1"/>
    </row>
    <row r="82" spans="1:26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  <c r="Y82" s="1"/>
      <c r="Z82" s="1"/>
    </row>
    <row r="83" spans="1:26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  <c r="Y83" s="1"/>
      <c r="Z83" s="1"/>
    </row>
    <row r="84" spans="1:26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  <c r="Y84" s="1"/>
      <c r="Z84" s="1"/>
    </row>
    <row r="85" spans="1:26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1"/>
      <c r="V85" s="1"/>
      <c r="W85" s="1"/>
      <c r="X85" s="1"/>
      <c r="Y85" s="1"/>
      <c r="Z85" s="1"/>
    </row>
    <row r="86" spans="1:26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1"/>
      <c r="V86" s="1"/>
      <c r="W86" s="1"/>
      <c r="X86" s="1"/>
      <c r="Y86" s="1"/>
      <c r="Z86" s="1"/>
    </row>
    <row r="87" spans="1:26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1"/>
      <c r="V87" s="1"/>
      <c r="W87" s="1"/>
      <c r="X87" s="1"/>
      <c r="Y87" s="1"/>
      <c r="Z87" s="1"/>
    </row>
    <row r="88" spans="1:26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1"/>
      <c r="V88" s="1"/>
      <c r="W88" s="1"/>
      <c r="X88" s="1"/>
      <c r="Y88" s="1"/>
      <c r="Z88" s="1"/>
    </row>
    <row r="89" spans="1:26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1"/>
      <c r="V89" s="1"/>
      <c r="W89" s="1"/>
      <c r="X89" s="1"/>
      <c r="Y89" s="1"/>
      <c r="Z89" s="1"/>
    </row>
    <row r="90" spans="1:26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1"/>
      <c r="V90" s="1"/>
      <c r="W90" s="1"/>
      <c r="X90" s="1"/>
      <c r="Y90" s="1"/>
      <c r="Z90" s="1"/>
    </row>
    <row r="91" spans="1:26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1"/>
      <c r="V91" s="1"/>
      <c r="W91" s="1"/>
      <c r="X91" s="1"/>
      <c r="Y91" s="1"/>
      <c r="Z91" s="1"/>
    </row>
    <row r="92" spans="1:26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1"/>
      <c r="V92" s="1"/>
      <c r="W92" s="1"/>
      <c r="X92" s="1"/>
      <c r="Y92" s="1"/>
      <c r="Z92" s="1"/>
    </row>
    <row r="93" spans="1:26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1"/>
      <c r="V93" s="1"/>
      <c r="W93" s="1"/>
      <c r="X93" s="1"/>
      <c r="Y93" s="1"/>
      <c r="Z93" s="1"/>
    </row>
    <row r="94" spans="1:26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1"/>
      <c r="V94" s="1"/>
      <c r="W94" s="1"/>
      <c r="X94" s="1"/>
      <c r="Y94" s="1"/>
      <c r="Z94" s="1"/>
    </row>
    <row r="95" spans="1:26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1"/>
      <c r="V95" s="1"/>
      <c r="W95" s="1"/>
      <c r="X95" s="1"/>
      <c r="Y95" s="1"/>
      <c r="Z95" s="1"/>
    </row>
    <row r="96" spans="1:26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1"/>
      <c r="V96" s="1"/>
      <c r="W96" s="1"/>
      <c r="X96" s="1"/>
      <c r="Y96" s="1"/>
      <c r="Z96" s="1"/>
    </row>
    <row r="97" spans="1:26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1"/>
      <c r="V97" s="1"/>
      <c r="W97" s="1"/>
      <c r="X97" s="1"/>
      <c r="Y97" s="1"/>
      <c r="Z97" s="1"/>
    </row>
    <row r="98" spans="1:26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1"/>
      <c r="V98" s="1"/>
      <c r="W98" s="1"/>
      <c r="X98" s="1"/>
      <c r="Y98" s="1"/>
      <c r="Z98" s="1"/>
    </row>
    <row r="99" spans="1:26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1"/>
      <c r="V99" s="1"/>
      <c r="W99" s="1"/>
      <c r="X99" s="1"/>
      <c r="Y99" s="1"/>
      <c r="Z99" s="1"/>
    </row>
    <row r="100" spans="1:26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1"/>
      <c r="V100" s="1"/>
      <c r="W100" s="1"/>
      <c r="X100" s="1"/>
      <c r="Y100" s="1"/>
      <c r="Z100" s="1"/>
    </row>
    <row r="101" spans="1:26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1"/>
      <c r="V101" s="1"/>
      <c r="W101" s="1"/>
      <c r="X101" s="1"/>
      <c r="Y101" s="1"/>
      <c r="Z101" s="1"/>
    </row>
    <row r="102" spans="1:26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1"/>
      <c r="V102" s="1"/>
      <c r="W102" s="1"/>
      <c r="X102" s="1"/>
      <c r="Y102" s="1"/>
      <c r="Z102" s="1"/>
    </row>
    <row r="103" spans="1:26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1"/>
      <c r="V103" s="1"/>
      <c r="W103" s="1"/>
      <c r="X103" s="1"/>
      <c r="Y103" s="1"/>
      <c r="Z103" s="1"/>
    </row>
    <row r="104" spans="1:26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1"/>
      <c r="V104" s="1"/>
      <c r="W104" s="1"/>
      <c r="X104" s="1"/>
      <c r="Y104" s="1"/>
      <c r="Z104" s="1"/>
    </row>
    <row r="105" spans="1:26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1"/>
      <c r="V105" s="1"/>
      <c r="W105" s="1"/>
      <c r="X105" s="1"/>
      <c r="Y105" s="1"/>
      <c r="Z105" s="1"/>
    </row>
    <row r="106" spans="1:26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1"/>
      <c r="V106" s="1"/>
      <c r="W106" s="1"/>
      <c r="X106" s="1"/>
      <c r="Y106" s="1"/>
      <c r="Z106" s="1"/>
    </row>
    <row r="107" spans="1:26" x14ac:dyDescent="0.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1"/>
      <c r="V107" s="1"/>
      <c r="W107" s="1"/>
      <c r="X107" s="1"/>
      <c r="Y107" s="1"/>
      <c r="Z107" s="1"/>
    </row>
    <row r="108" spans="1:26" x14ac:dyDescent="0.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1"/>
      <c r="V108" s="1"/>
      <c r="W108" s="1"/>
      <c r="X108" s="1"/>
      <c r="Y108" s="1"/>
      <c r="Z108" s="1"/>
    </row>
    <row r="109" spans="1:26" x14ac:dyDescent="0.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1"/>
      <c r="V109" s="1"/>
      <c r="W109" s="1"/>
      <c r="X109" s="1"/>
      <c r="Y109" s="1"/>
      <c r="Z109" s="1"/>
    </row>
    <row r="110" spans="1:26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1"/>
      <c r="V110" s="1"/>
      <c r="W110" s="1"/>
      <c r="X110" s="1"/>
      <c r="Y110" s="1"/>
      <c r="Z110" s="1"/>
    </row>
    <row r="111" spans="1:26" x14ac:dyDescent="0.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1"/>
      <c r="V111" s="1"/>
      <c r="W111" s="1"/>
      <c r="X111" s="1"/>
      <c r="Y111" s="1"/>
      <c r="Z111" s="1"/>
    </row>
    <row r="112" spans="1:26" x14ac:dyDescent="0.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1"/>
      <c r="V112" s="1"/>
      <c r="W112" s="1"/>
      <c r="X112" s="1"/>
      <c r="Y112" s="1"/>
      <c r="Z112" s="1"/>
    </row>
    <row r="113" spans="1:26" x14ac:dyDescent="0.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1"/>
      <c r="V113" s="1"/>
      <c r="W113" s="1"/>
      <c r="X113" s="1"/>
      <c r="Y113" s="1"/>
      <c r="Z113" s="1"/>
    </row>
    <row r="114" spans="1:26" x14ac:dyDescent="0.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1"/>
      <c r="V114" s="1"/>
      <c r="W114" s="1"/>
      <c r="X114" s="1"/>
      <c r="Y114" s="1"/>
      <c r="Z114" s="1"/>
    </row>
    <row r="115" spans="1:26" x14ac:dyDescent="0.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1"/>
      <c r="V115" s="1"/>
      <c r="W115" s="1"/>
      <c r="X115" s="1"/>
      <c r="Y115" s="1"/>
      <c r="Z115" s="1"/>
    </row>
    <row r="116" spans="1:26" x14ac:dyDescent="0.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1"/>
      <c r="V116" s="1"/>
      <c r="W116" s="1"/>
      <c r="X116" s="1"/>
      <c r="Y116" s="1"/>
      <c r="Z116" s="1"/>
    </row>
  </sheetData>
  <mergeCells count="9">
    <mergeCell ref="M3:N3"/>
    <mergeCell ref="A1:L1"/>
    <mergeCell ref="A6:B6"/>
    <mergeCell ref="E6:F6"/>
    <mergeCell ref="I6:J6"/>
    <mergeCell ref="M6:N6"/>
    <mergeCell ref="I3:J3"/>
    <mergeCell ref="E3:F3"/>
    <mergeCell ref="A3:B3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5E71-7E9E-46D6-AE81-89D54908087E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04"/>
  <sheetViews>
    <sheetView showGridLines="0" workbookViewId="0"/>
  </sheetViews>
  <sheetFormatPr defaultRowHeight="15"/>
  <cols>
    <col min="1" max="1" width="2.5"/>
  </cols>
  <sheetData>
    <row r="1">
      <c r="A1" t="inlineStr">
        <is>
          <t xml:space="preserve">Live model data — TPC-DS via the Tessallite XMLA connection. Feeds the dashboard; Data &gt; Refresh All updates it. Do not edit.</t>
        </is>
      </c>
    </row>
    <row r="3">
      <c r="B3" t="inlineStr">
        <is>
          <t xml:space="preserve">By Month</t>
        </is>
      </c>
      <c r="F3" t="inlineStr">
        <is>
          <t xml:space="preserve">By Category</t>
        </is>
      </c>
      <c r="J3" t="inlineStr">
        <is>
          <t xml:space="preserve">By Quarter</t>
        </is>
      </c>
      <c r="N3" t="inlineStr">
        <is>
          <t xml:space="preserve">By Product Class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Data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Othman</dc:creator>
  <cp:lastModifiedBy>Mohammed Othman</cp:lastModifiedBy>
  <dcterms:created xsi:type="dcterms:W3CDTF">2026-06-24T23:54:34Z</dcterms:created>
  <dcterms:modified xsi:type="dcterms:W3CDTF">2026-06-28T01:04:43Z</dcterms:modified>
</cp:coreProperties>
</file>